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1055" activeTab="1"/>
  </bookViews>
  <sheets>
    <sheet name="Корректировка тарифа КОМБИ" sheetId="1" r:id="rId1"/>
    <sheet name="Корректировка тарифа конечным" sheetId="3" r:id="rId2"/>
    <sheet name="Лист2" sheetId="2" r:id="rId3"/>
  </sheets>
  <externalReferences>
    <externalReference r:id="rId4"/>
    <externalReference r:id="rId5"/>
    <externalReference r:id="rId6"/>
    <externalReference r:id="rId7"/>
  </externalReferences>
  <definedNames>
    <definedName name="_IDОтчета">178174</definedName>
    <definedName name="_IDШаблона">178176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Accuracy" localSheetId="1">[1]TEHSHEET!$R$2:$R$12</definedName>
    <definedName name="Accuracy">[2]TEHSHEET!$R$2:$R$12</definedName>
    <definedName name="anscount" hidden="1">1</definedName>
    <definedName name="APPROVE">[3]TEHSHEET!$W$2:$W$3</definedName>
    <definedName name="god" localSheetId="1">[1]Титульный!$F$8</definedName>
    <definedName name="god">[2]Титульный!$F$8</definedName>
    <definedName name="inn" localSheetId="1">[1]Титульный!$F$34</definedName>
    <definedName name="inn">[2]Титульный!$F$34</definedName>
    <definedName name="IS_APPROVE">'[3]Исходные данные'!$F$24,'[3]Исходные данные'!$F$26,'[3]Исходные данные'!$F$28</definedName>
    <definedName name="kpp" localSheetId="1">[1]Титульный!$F$35</definedName>
    <definedName name="kpp">[2]Титульный!$F$35</definedName>
    <definedName name="LNG_PRD_DURATION_CHK" localSheetId="1">[1]Титульный!$F$48</definedName>
    <definedName name="LNG_PRD_DURATION_CHK">[2]Титульный!$F$48</definedName>
    <definedName name="LONG_PERIOD_DURATION" localSheetId="1">[1]TEHSHEET!$T$2:$T$4</definedName>
    <definedName name="LONG_PERIOD_DURATION">[2]TEHSHEET!$T$2:$T$4</definedName>
    <definedName name="mo" localSheetId="1">[1]Титульный!$F$40</definedName>
    <definedName name="mo">[2]Титульный!$F$40</definedName>
    <definedName name="mr" localSheetId="1">[1]Титульный!$F$38</definedName>
    <definedName name="mr">[2]Титульный!$F$38</definedName>
    <definedName name="MR_LIST" localSheetId="1">[1]REESTR_MO!$D$2:$D$56</definedName>
    <definedName name="MR_LIST">[2]REESTR_MO!$D$2:$D$56</definedName>
    <definedName name="nds_val" localSheetId="1">[1]Титульный!$F$74</definedName>
    <definedName name="nds_val">[2]Титульный!$F$74</definedName>
    <definedName name="NEXT_LONG_PERIOD_DURATION" localSheetId="1">[1]TEHSHEET!$X$2:$X$3</definedName>
    <definedName name="NEXT_LONG_PERIOD_DURATION">[2]TEHSHEET!$X$2:$X$3</definedName>
    <definedName name="org" localSheetId="1">[1]Титульный!$F$32</definedName>
    <definedName name="org">[2]Титульный!$F$32</definedName>
    <definedName name="P19_T1_Protect" localSheetId="1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1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ROT_22" localSheetId="1">P3_PROT_22,P4_PROT_22,P5_PROT_22</definedName>
    <definedName name="PROT_22">P3_PROT_22,P4_PROT_22,P5_PROT_22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1">P1_SCOPE_16_PRT,P2_SCOPE_16_PRT</definedName>
    <definedName name="SCOPE_16_PRT">P1_SCOPE_16_PRT,P2_SCOPE_16_PRT</definedName>
    <definedName name="Scope_17_PRT" localSheetId="1">P1_SCOPE_16_PRT,P2_SCOPE_16_PRT</definedName>
    <definedName name="Scope_17_PRT">P1_SCOPE_16_PRT,P2_SCOPE_16_PRT</definedName>
    <definedName name="SCOPE_PER_PRT" localSheetId="1">P5_SCOPE_PER_PRT,P6_SCOPE_PER_PRT,P7_SCOPE_PER_PRT,P8_SCOPE_PER_PRT</definedName>
    <definedName name="SCOPE_PER_PRT">P5_SCOPE_PER_PRT,P6_SCOPE_PER_PRT,P7_SCOPE_PER_PRT,P8_SCOPE_PER_PRT</definedName>
    <definedName name="SCOPE_SV_PRT" localSheetId="1">P1_SCOPE_SV_PRT,P2_SCOPE_SV_PRT,P3_SCOPE_SV_PRT</definedName>
    <definedName name="SCOPE_SV_PRT">P1_SCOPE_SV_PRT,P2_SCOPE_SV_PRT,P3_SCOPE_SV_PRT</definedName>
    <definedName name="score_per_prt2" localSheetId="1">P5_SCOPE_PER_PRT,P6_SCOPE_PER_PRT,P7_SCOPE_PER_PRT,P8_SCOPE_PER_PRT</definedName>
    <definedName name="score_per_prt2">P5_SCOPE_PER_PRT,P6_SCOPE_PER_PRT,P7_SCOPE_PER_PRT,P8_SCOPE_PER_PRT</definedName>
    <definedName name="set_01" localSheetId="1">[1]TEHSHEET!$E$2:$E$3</definedName>
    <definedName name="set_01">[2]TEHSHEET!$E$2:$E$3</definedName>
    <definedName name="set_02" localSheetId="1">[1]TEHSHEET!$F$2:$F$3</definedName>
    <definedName name="set_02">[2]TEHSHEET!$F$2:$F$3</definedName>
    <definedName name="set_03" localSheetId="1">[1]TEHSHEET!$G$2:$G$3</definedName>
    <definedName name="set_03">[2]TEHSHEET!$G$2:$G$3</definedName>
    <definedName name="set_04" localSheetId="1">[1]TEHSHEET!$H$2:$H$11</definedName>
    <definedName name="set_04">[2]TEHSHEET!$H$2:$H$11</definedName>
    <definedName name="set_05" localSheetId="1">[1]TEHSHEET!$I$2:$I$4</definedName>
    <definedName name="set_05">[2]TEHSHEET!$I$2:$I$4</definedName>
    <definedName name="set_06" localSheetId="1">[1]TEHSHEET!$J$2:$J$5</definedName>
    <definedName name="set_06">[2]TEHSHEET!$J$2:$J$5</definedName>
    <definedName name="SKI_NUMBER" localSheetId="1">[1]TEHSHEET!$V$2:$V$21</definedName>
    <definedName name="SKI_NUMBER">[2]TEHSHEET!$V$2:$V$21</definedName>
    <definedName name="T2.1_Protect" localSheetId="1">P4_T2.1_Protect,P5_T2.1_Protect,P6_T2.1_Protect,P7_T2.1_Protect</definedName>
    <definedName name="T2.1_Protect">P4_T2.1_Protect,P5_T2.1_Protect,P6_T2.1_Protect,P7_T2.1_Protect</definedName>
    <definedName name="T2_1_Protect" localSheetId="1">P4_T2_1_Protect,P5_T2_1_Protect,P6_T2_1_Protect,P7_T2_1_Protect</definedName>
    <definedName name="T2_1_Protect">P4_T2_1_Protect,P5_T2_1_Protect,P6_T2_1_Protect,P7_T2_1_Protect</definedName>
    <definedName name="T2_2_Protect" localSheetId="1">P4_T2_2_Protect,P5_T2_2_Protect,P6_T2_2_Protect,P7_T2_2_Protect</definedName>
    <definedName name="T2_2_Protect">P4_T2_2_Protect,P5_T2_2_Protect,P6_T2_2_Protect,P7_T2_2_Protect</definedName>
    <definedName name="T2_DiapProt" localSheetId="1">P1_T2_DiapProt,P2_T2_DiapProt</definedName>
    <definedName name="T2_DiapProt">P1_T2_DiapProt,P2_T2_DiapProt</definedName>
    <definedName name="T2_Protect" localSheetId="1">P4_T2_Protect,P5_T2_Protect,P6_T2_Protect</definedName>
    <definedName name="T2_Protect">P4_T2_Protect,P5_T2_Protect,P6_T2_Protect</definedName>
    <definedName name="T6_Protect" localSheetId="1">P1_T6_Protect,P2_T6_Protect</definedName>
    <definedName name="T6_Protect">P1_T6_Protect,P2_T6_Protect</definedName>
    <definedName name="TARIFF_KINDS" localSheetId="1">[1]Титульный!$F$11,[1]Титульный!$F$13,[1]Титульный!$F$15,[1]Титульный!$F$17,[1]Титульный!$F$19</definedName>
    <definedName name="TARIFF_KINDS">[2]Титульный!$F$11,[2]Титульный!$F$13,[2]Титульный!$F$15,[2]Титульный!$F$17,[2]Титульный!$F$19</definedName>
    <definedName name="tax_system" localSheetId="1">[1]Титульный!$F$73</definedName>
    <definedName name="tax_system">[2]Титульный!$F$73</definedName>
    <definedName name="TOTAL" localSheetId="1">P1_TOTAL,P2_TOTAL,P3_TOTAL,P4_TOTAL,P5_TOTAL</definedName>
    <definedName name="TOTAL">P1_TOTAL,P2_TOTAL,P3_TOTAL,P4_TOTAL,P5_TOTAL</definedName>
    <definedName name="ws_07_range_5">'[4]Таблица 4.1'!$J$1:$N$65536,'[4]Таблица 4.1'!$R$1:$V$65536,'[4]Таблица 4.1'!$AB$1:$AF$65536,'[4]Таблица 4.1'!$AL$1:$AP$65536,'[4]Таблица 4.1'!$AV$1:$AZ$65536,'[4]Таблица 4.1'!$BF$1:$BJ$65536</definedName>
    <definedName name="ws_08_range_5" localSheetId="1">'[1]И.4.1_ПО ТЭ'!$J:$N,'[1]И.4.1_ПО ТЭ'!$R:$V,'[1]И.4.1_ПО ТЭ'!$AB:$AF,'[1]И.4.1_ПО ТЭ'!$AL:$AP,'[1]И.4.1_ПО ТЭ'!$AV:$AZ,'[1]И.4.1_ПО ТЭ'!$BF:$BJ,'[1]И.4.1_ПО ТЭ'!$BP:$BT,'[1]И.4.1_ПО ТЭ'!$BZ:$CD</definedName>
    <definedName name="ws_08_range_5">'[2]И.4.1_ПО ТЭ'!$J:$N,'[2]И.4.1_ПО ТЭ'!$R:$V,'[2]И.4.1_ПО ТЭ'!$AB:$AF,'[2]И.4.1_ПО ТЭ'!$AL:$AP,'[2]И.4.1_ПО ТЭ'!$AV:$AZ,'[2]И.4.1_ПО ТЭ'!$BF:$BJ,'[2]И.4.1_ПО ТЭ'!$BP:$BT,'[2]И.4.1_ПО ТЭ'!$BZ:$CD</definedName>
    <definedName name="ws_23_years_3" localSheetId="1">[1]Таблица6!$39:$94,[1]Таблица6!$174:$229</definedName>
    <definedName name="ws_23_years_3">[2]Таблица6!$39:$94,[2]Таблица6!$174:$229</definedName>
    <definedName name="ws_23_years_5" localSheetId="1">[1]Таблица6!$39:$130,[1]Таблица6!$174:$285</definedName>
    <definedName name="ws_23_years_5">[2]Таблица6!$39:$130,[2]Таблица6!$174:$285</definedName>
    <definedName name="ws_46_checking_on_null">[3]Смета!$J$11:$J$12,[3]Смета!$J$16,[3]Смета!$J$19:$J$28,[3]Смета!$J$34,[3]Смета!$J$41,[3]Смета!$J$46,[3]Смета!$J$47</definedName>
    <definedName name="ws_59_hidding_range" localSheetId="1">#REF!</definedName>
    <definedName name="ws_59_hidding_range">#REF!</definedName>
    <definedName name="ws_69_1_1_not_null" localSheetId="1">#REF!</definedName>
    <definedName name="ws_69_1_1_not_null">#REF!</definedName>
    <definedName name="ws_69_1_1_null" localSheetId="1">#REF!</definedName>
    <definedName name="ws_69_1_1_null">#REF!</definedName>
    <definedName name="ws_69_1_10_not_null" localSheetId="1">#REF!</definedName>
    <definedName name="ws_69_1_10_not_null">#REF!</definedName>
    <definedName name="ws_69_1_10_null" localSheetId="1">#REF!</definedName>
    <definedName name="ws_69_1_10_null">#REF!</definedName>
    <definedName name="ws_69_1_11_not_null" localSheetId="1">#REF!</definedName>
    <definedName name="ws_69_1_11_not_null">#REF!</definedName>
    <definedName name="ws_69_1_11_null" localSheetId="1">#REF!</definedName>
    <definedName name="ws_69_1_11_null">#REF!</definedName>
    <definedName name="ws_69_1_12_not_null" localSheetId="1">#REF!</definedName>
    <definedName name="ws_69_1_12_not_null">#REF!</definedName>
    <definedName name="ws_69_1_12_null" localSheetId="1">#REF!</definedName>
    <definedName name="ws_69_1_12_null">#REF!</definedName>
    <definedName name="ws_69_1_13_not_null" localSheetId="1">#REF!</definedName>
    <definedName name="ws_69_1_13_not_null">#REF!</definedName>
    <definedName name="ws_69_1_13_null" localSheetId="1">#REF!</definedName>
    <definedName name="ws_69_1_13_null">#REF!</definedName>
    <definedName name="ws_69_1_14_not_null" localSheetId="1">#REF!</definedName>
    <definedName name="ws_69_1_14_not_null">#REF!</definedName>
    <definedName name="ws_69_1_14_null" localSheetId="1">#REF!</definedName>
    <definedName name="ws_69_1_14_null">#REF!</definedName>
    <definedName name="ws_69_1_15_not_null" localSheetId="1">#REF!</definedName>
    <definedName name="ws_69_1_15_not_null">#REF!</definedName>
    <definedName name="ws_69_1_15_null" localSheetId="1">#REF!</definedName>
    <definedName name="ws_69_1_15_null">#REF!</definedName>
    <definedName name="ws_69_1_16_not_null" localSheetId="1">#REF!</definedName>
    <definedName name="ws_69_1_16_not_null">#REF!</definedName>
    <definedName name="ws_69_1_16_null" localSheetId="1">#REF!</definedName>
    <definedName name="ws_69_1_16_null">#REF!</definedName>
    <definedName name="ws_69_1_17_not_null" localSheetId="1">#REF!</definedName>
    <definedName name="ws_69_1_17_not_null">#REF!</definedName>
    <definedName name="ws_69_1_17_null" localSheetId="1">#REF!</definedName>
    <definedName name="ws_69_1_17_null">#REF!</definedName>
    <definedName name="ws_69_1_18_not_null" localSheetId="1">#REF!</definedName>
    <definedName name="ws_69_1_18_not_null">#REF!</definedName>
    <definedName name="ws_69_1_18_null" localSheetId="1">#REF!</definedName>
    <definedName name="ws_69_1_18_null">#REF!</definedName>
    <definedName name="ws_69_1_2_not_null" localSheetId="1">#REF!</definedName>
    <definedName name="ws_69_1_2_not_null">#REF!</definedName>
    <definedName name="ws_69_1_2_null" localSheetId="1">#REF!</definedName>
    <definedName name="ws_69_1_2_null">#REF!</definedName>
    <definedName name="ws_69_1_3_1_4_1_5_not_null" localSheetId="1">#REF!</definedName>
    <definedName name="ws_69_1_3_1_4_1_5_not_null">#REF!</definedName>
    <definedName name="ws_69_1_3_1_4_1_5_null" localSheetId="1">#REF!</definedName>
    <definedName name="ws_69_1_3_1_4_1_5_null">#REF!</definedName>
    <definedName name="ws_69_1_3_not_null" localSheetId="1">#REF!,#REF!</definedName>
    <definedName name="ws_69_1_3_not_null">#REF!,#REF!</definedName>
    <definedName name="ws_69_1_4_not_null" localSheetId="1">#REF!,#REF!</definedName>
    <definedName name="ws_69_1_4_not_null">#REF!,#REF!</definedName>
    <definedName name="ws_69_1_5_not_null" localSheetId="1">#REF!,#REF!</definedName>
    <definedName name="ws_69_1_5_not_null">#REF!,#REF!</definedName>
    <definedName name="ws_69_1_6_not_null" localSheetId="1">#REF!</definedName>
    <definedName name="ws_69_1_6_not_null">#REF!</definedName>
    <definedName name="ws_69_1_6_null" localSheetId="1">#REF!</definedName>
    <definedName name="ws_69_1_6_null">#REF!</definedName>
    <definedName name="ws_69_1_7_1_8_not_null" localSheetId="1">#REF!</definedName>
    <definedName name="ws_69_1_7_1_8_not_null">#REF!</definedName>
    <definedName name="ws_69_1_7_1_8_null" localSheetId="1">#REF!</definedName>
    <definedName name="ws_69_1_7_1_8_null">#REF!</definedName>
    <definedName name="ws_69_1_7_not_null" localSheetId="1">#REF!</definedName>
    <definedName name="ws_69_1_7_not_null">#REF!</definedName>
    <definedName name="ws_69_1_8_not_null" localSheetId="1">#REF!</definedName>
    <definedName name="ws_69_1_8_not_null">#REF!</definedName>
    <definedName name="ws_69_1_9_not_null" localSheetId="1">#REF!</definedName>
    <definedName name="ws_69_1_9_not_null">#REF!</definedName>
    <definedName name="ws_69_1_9_null" localSheetId="1">#REF!</definedName>
    <definedName name="ws_69_1_9_null">#REF!</definedName>
    <definedName name="ws_69_add_zone_1" localSheetId="1">#REF!</definedName>
    <definedName name="ws_69_add_zone_1">#REF!</definedName>
    <definedName name="ws_69_add_zone_2" localSheetId="1">#REF!</definedName>
    <definedName name="ws_69_add_zone_2">#REF!</definedName>
    <definedName name="ws_69_begin_add_zone_1" localSheetId="1">#REF!</definedName>
    <definedName name="ws_69_begin_add_zone_1">#REF!</definedName>
    <definedName name="ws_69_begin_add_zone_2" localSheetId="1">#REF!</definedName>
    <definedName name="ws_69_begin_add_zone_2">#REF!</definedName>
    <definedName name="ws_69_II_not_null" localSheetId="1">#REF!</definedName>
    <definedName name="ws_69_II_not_null">#REF!</definedName>
    <definedName name="ws_69_II_null" localSheetId="1">#REF!</definedName>
    <definedName name="ws_69_II_null">#REF!</definedName>
    <definedName name="ws_69_III_not_null" localSheetId="1">#REF!</definedName>
    <definedName name="ws_69_III_not_null">#REF!</definedName>
    <definedName name="ws_69_III_null" localSheetId="1">#REF!</definedName>
    <definedName name="ws_69_III_null">#REF!</definedName>
    <definedName name="ws_69_IV_not_null" localSheetId="1">#REF!</definedName>
    <definedName name="ws_69_IV_not_null">#REF!</definedName>
    <definedName name="ws_69_IV_null" localSheetId="1">#REF!</definedName>
    <definedName name="ws_69_IV_null">#REF!</definedName>
    <definedName name="ws_69_V_not_null" localSheetId="1">#REF!</definedName>
    <definedName name="ws_69_V_not_null">#REF!</definedName>
    <definedName name="ws_69_V_null" localSheetId="1">#REF!</definedName>
    <definedName name="ws_69_V_null">#REF!</definedName>
    <definedName name="YEAR_01" localSheetId="1">[1]TEHSHEET!$D$2:$D$11</definedName>
    <definedName name="YEAR_01">[2]TEHSHEET!$D$2:$D$11</definedName>
    <definedName name="YesNo" localSheetId="1">[1]TEHSHEET!$B$2:$B$3</definedName>
    <definedName name="YesNo">[2]TEHSHEET!$B$2:$B$3</definedName>
    <definedName name="_xlnm.Print_Titles" localSheetId="0">'Корректировка тарифа КОМБИ'!$8:$10</definedName>
    <definedName name="_xlnm.Print_Titles" localSheetId="1">'Корректировка тарифа конечным'!$8:$10</definedName>
    <definedName name="й" localSheetId="1">P1_SCOPE_16_PRT,P2_SCOPE_16_PRT</definedName>
    <definedName name="й">P1_SCOPE_16_PRT,P2_SCOPE_16_PRT</definedName>
    <definedName name="мрпоп" localSheetId="1">P1_SCOPE_16_PRT,P2_SCOPE_16_PRT</definedName>
    <definedName name="мрпоп">P1_SCOPE_16_PRT,P2_SCOPE_16_PRT</definedName>
    <definedName name="_xlnm.Print_Area" localSheetId="0">'Корректировка тарифа КОМБИ'!$A$1:$AC$74</definedName>
    <definedName name="_xlnm.Print_Area" localSheetId="1">'Корректировка тарифа конечным'!$A$1:$AC$75</definedName>
    <definedName name="р" localSheetId="1">P5_SCOPE_PER_PRT,P6_SCOPE_PER_PRT,P7_SCOPE_PER_PRT,P8_SCOPE_PER_PRT</definedName>
    <definedName name="р">P5_SCOPE_PER_PRT,P6_SCOPE_PER_PRT,P7_SCOPE_PER_PRT,P8_SCOPE_PER_PRT</definedName>
  </definedNames>
  <calcPr calcId="145621"/>
</workbook>
</file>

<file path=xl/calcChain.xml><?xml version="1.0" encoding="utf-8"?>
<calcChain xmlns="http://schemas.openxmlformats.org/spreadsheetml/2006/main">
  <c r="AC71" i="1" l="1"/>
  <c r="AC71" i="3"/>
  <c r="AB51" i="1" l="1"/>
  <c r="AC72" i="3"/>
  <c r="AC27" i="3" l="1"/>
  <c r="AC26" i="3"/>
  <c r="AC24" i="3"/>
  <c r="AC23" i="3"/>
  <c r="AC22" i="3"/>
  <c r="AC20" i="3"/>
  <c r="AC19" i="3"/>
  <c r="AC18" i="3"/>
  <c r="AC17" i="3"/>
  <c r="AC16" i="3"/>
  <c r="AC15" i="3"/>
  <c r="AC14" i="3"/>
  <c r="AC13" i="3"/>
  <c r="AC12" i="3"/>
  <c r="AC11" i="3"/>
  <c r="AC70" i="1"/>
  <c r="AC69" i="1"/>
  <c r="AC68" i="1"/>
  <c r="AC57" i="1"/>
  <c r="AC51" i="1"/>
  <c r="AC50" i="1"/>
  <c r="AC44" i="1"/>
  <c r="AC42" i="1"/>
  <c r="AC41" i="1"/>
  <c r="AC40" i="1"/>
  <c r="AC39" i="1"/>
  <c r="AC38" i="1"/>
  <c r="AC37" i="1"/>
  <c r="AC36" i="1"/>
  <c r="AC35" i="1"/>
  <c r="AC34" i="1"/>
  <c r="AC28" i="1"/>
  <c r="AC27" i="1"/>
  <c r="AC26" i="1"/>
  <c r="AC24" i="1"/>
  <c r="AC23" i="1"/>
  <c r="AC22" i="1"/>
  <c r="AC20" i="1"/>
  <c r="AC19" i="1"/>
  <c r="AC18" i="1"/>
  <c r="AC17" i="1"/>
  <c r="AC16" i="1"/>
  <c r="AC15" i="1"/>
  <c r="AC14" i="1"/>
  <c r="AC13" i="1"/>
  <c r="AC12" i="1"/>
  <c r="AC11" i="1"/>
  <c r="AB16" i="1"/>
  <c r="AB27" i="1"/>
  <c r="AB26" i="1"/>
  <c r="AB25" i="1"/>
  <c r="AB24" i="1"/>
  <c r="AB23" i="1"/>
  <c r="AB22" i="1"/>
  <c r="AB21" i="1"/>
  <c r="AB20" i="1"/>
  <c r="AB19" i="1"/>
  <c r="AB18" i="1"/>
  <c r="AB17" i="1"/>
  <c r="AB15" i="1"/>
  <c r="AB14" i="1"/>
  <c r="AB13" i="1"/>
  <c r="AB12" i="1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B14" i="3"/>
  <c r="AB13" i="3"/>
  <c r="AB12" i="3"/>
  <c r="AC70" i="3" l="1"/>
  <c r="AC69" i="3"/>
  <c r="AC68" i="3"/>
  <c r="AC57" i="3"/>
  <c r="AC51" i="3"/>
  <c r="AC50" i="3"/>
  <c r="AC49" i="3"/>
  <c r="AC47" i="3"/>
  <c r="AC44" i="3"/>
  <c r="AC42" i="3"/>
  <c r="AC41" i="3"/>
  <c r="AC40" i="3"/>
  <c r="AC39" i="3"/>
  <c r="AC38" i="3"/>
  <c r="AC37" i="3"/>
  <c r="AC36" i="3"/>
  <c r="AC35" i="3"/>
  <c r="AC34" i="3"/>
  <c r="AB35" i="3" l="1"/>
  <c r="W39" i="3" l="1"/>
  <c r="W38" i="3"/>
  <c r="V72" i="3" l="1"/>
  <c r="M72" i="3"/>
  <c r="AA71" i="3"/>
  <c r="X71" i="3"/>
  <c r="U71" i="3"/>
  <c r="R71" i="3"/>
  <c r="O71" i="3"/>
  <c r="K71" i="3"/>
  <c r="AB70" i="3"/>
  <c r="Y70" i="3"/>
  <c r="V70" i="3"/>
  <c r="Z70" i="3" s="1"/>
  <c r="S70" i="3"/>
  <c r="P70" i="3"/>
  <c r="M70" i="3"/>
  <c r="Q70" i="3" s="1"/>
  <c r="J70" i="3"/>
  <c r="I70" i="3"/>
  <c r="W70" i="3" s="1"/>
  <c r="H70" i="3"/>
  <c r="Z69" i="3"/>
  <c r="S69" i="3"/>
  <c r="P69" i="3"/>
  <c r="M69" i="3"/>
  <c r="Q69" i="3" s="1"/>
  <c r="J69" i="3"/>
  <c r="I69" i="3"/>
  <c r="W69" i="3" s="1"/>
  <c r="H69" i="3"/>
  <c r="Z68" i="3"/>
  <c r="S68" i="3"/>
  <c r="P68" i="3"/>
  <c r="M68" i="3"/>
  <c r="J68" i="3"/>
  <c r="I68" i="3"/>
  <c r="H68" i="3"/>
  <c r="T67" i="3"/>
  <c r="Q67" i="3"/>
  <c r="F66" i="3"/>
  <c r="Z65" i="3"/>
  <c r="W65" i="3"/>
  <c r="T65" i="3"/>
  <c r="Q65" i="3"/>
  <c r="N65" i="3"/>
  <c r="Z64" i="3"/>
  <c r="W64" i="3"/>
  <c r="T64" i="3"/>
  <c r="Q64" i="3"/>
  <c r="N64" i="3"/>
  <c r="Z63" i="3"/>
  <c r="W63" i="3"/>
  <c r="T63" i="3"/>
  <c r="Q63" i="3"/>
  <c r="N63" i="3"/>
  <c r="Z62" i="3"/>
  <c r="W62" i="3"/>
  <c r="T62" i="3"/>
  <c r="Q62" i="3"/>
  <c r="N62" i="3"/>
  <c r="AB61" i="3"/>
  <c r="AA61" i="3"/>
  <c r="Y61" i="3"/>
  <c r="X61" i="3"/>
  <c r="W61" i="3"/>
  <c r="V61" i="3"/>
  <c r="Z61" i="3" s="1"/>
  <c r="U61" i="3"/>
  <c r="S61" i="3"/>
  <c r="R61" i="3"/>
  <c r="P61" i="3"/>
  <c r="T61" i="3" s="1"/>
  <c r="O61" i="3"/>
  <c r="N61" i="3"/>
  <c r="M61" i="3"/>
  <c r="Q61" i="3" s="1"/>
  <c r="K61" i="3"/>
  <c r="J61" i="3"/>
  <c r="AB60" i="3"/>
  <c r="AA60" i="3"/>
  <c r="Y60" i="3"/>
  <c r="X60" i="3"/>
  <c r="W60" i="3"/>
  <c r="V60" i="3"/>
  <c r="Z60" i="3" s="1"/>
  <c r="U60" i="3"/>
  <c r="S60" i="3"/>
  <c r="R60" i="3"/>
  <c r="P60" i="3"/>
  <c r="T60" i="3" s="1"/>
  <c r="O60" i="3"/>
  <c r="N60" i="3"/>
  <c r="M60" i="3"/>
  <c r="Q60" i="3" s="1"/>
  <c r="K60" i="3"/>
  <c r="J60" i="3"/>
  <c r="AB59" i="3"/>
  <c r="AA59" i="3"/>
  <c r="Y59" i="3"/>
  <c r="X59" i="3"/>
  <c r="W59" i="3"/>
  <c r="V59" i="3"/>
  <c r="Z59" i="3" s="1"/>
  <c r="U59" i="3"/>
  <c r="S59" i="3"/>
  <c r="R59" i="3"/>
  <c r="P59" i="3"/>
  <c r="T59" i="3" s="1"/>
  <c r="O59" i="3"/>
  <c r="N59" i="3"/>
  <c r="M59" i="3"/>
  <c r="Q59" i="3" s="1"/>
  <c r="K59" i="3"/>
  <c r="J59" i="3"/>
  <c r="AB58" i="3"/>
  <c r="AA58" i="3"/>
  <c r="Y58" i="3"/>
  <c r="X58" i="3"/>
  <c r="W58" i="3"/>
  <c r="V58" i="3"/>
  <c r="Z58" i="3" s="1"/>
  <c r="U58" i="3"/>
  <c r="S58" i="3"/>
  <c r="R58" i="3"/>
  <c r="P58" i="3"/>
  <c r="T58" i="3" s="1"/>
  <c r="O58" i="3"/>
  <c r="M58" i="3"/>
  <c r="Q58" i="3" s="1"/>
  <c r="K58" i="3"/>
  <c r="J58" i="3"/>
  <c r="Z57" i="3"/>
  <c r="W57" i="3"/>
  <c r="T57" i="3"/>
  <c r="Q57" i="3"/>
  <c r="N57" i="3"/>
  <c r="Z56" i="3"/>
  <c r="W56" i="3"/>
  <c r="T56" i="3"/>
  <c r="Q56" i="3"/>
  <c r="N56" i="3"/>
  <c r="V55" i="3"/>
  <c r="Z55" i="3" s="1"/>
  <c r="T55" i="3"/>
  <c r="Q55" i="3"/>
  <c r="N55" i="3"/>
  <c r="J55" i="3"/>
  <c r="AB54" i="3"/>
  <c r="AA54" i="3"/>
  <c r="Y54" i="3"/>
  <c r="X54" i="3"/>
  <c r="W54" i="3"/>
  <c r="V54" i="3"/>
  <c r="Z54" i="3" s="1"/>
  <c r="U54" i="3"/>
  <c r="S54" i="3"/>
  <c r="R54" i="3"/>
  <c r="P54" i="3"/>
  <c r="T54" i="3" s="1"/>
  <c r="O54" i="3"/>
  <c r="N54" i="3"/>
  <c r="M54" i="3"/>
  <c r="Q54" i="3" s="1"/>
  <c r="K54" i="3"/>
  <c r="J54" i="3"/>
  <c r="AB53" i="3"/>
  <c r="AA53" i="3"/>
  <c r="Y53" i="3"/>
  <c r="X53" i="3"/>
  <c r="W53" i="3"/>
  <c r="V53" i="3"/>
  <c r="Z53" i="3" s="1"/>
  <c r="U53" i="3"/>
  <c r="S53" i="3"/>
  <c r="R53" i="3"/>
  <c r="P53" i="3"/>
  <c r="T53" i="3" s="1"/>
  <c r="O53" i="3"/>
  <c r="N53" i="3"/>
  <c r="M53" i="3"/>
  <c r="Q53" i="3" s="1"/>
  <c r="K53" i="3"/>
  <c r="J53" i="3"/>
  <c r="AB52" i="3"/>
  <c r="AA52" i="3"/>
  <c r="Y52" i="3"/>
  <c r="X52" i="3"/>
  <c r="W52" i="3"/>
  <c r="V52" i="3"/>
  <c r="Z52" i="3" s="1"/>
  <c r="U52" i="3"/>
  <c r="S52" i="3"/>
  <c r="R52" i="3"/>
  <c r="P52" i="3"/>
  <c r="T52" i="3" s="1"/>
  <c r="O52" i="3"/>
  <c r="N52" i="3"/>
  <c r="M52" i="3"/>
  <c r="Q52" i="3" s="1"/>
  <c r="K52" i="3"/>
  <c r="J52" i="3"/>
  <c r="AB51" i="3"/>
  <c r="AA51" i="3"/>
  <c r="X51" i="3"/>
  <c r="V51" i="3"/>
  <c r="V49" i="3" s="1"/>
  <c r="U51" i="3"/>
  <c r="S51" i="3"/>
  <c r="R51" i="3"/>
  <c r="P51" i="3"/>
  <c r="T51" i="3" s="1"/>
  <c r="O51" i="3"/>
  <c r="M51" i="3"/>
  <c r="Q51" i="3" s="1"/>
  <c r="K51" i="3"/>
  <c r="J51" i="3"/>
  <c r="AB50" i="3"/>
  <c r="AA50" i="3"/>
  <c r="X50" i="3"/>
  <c r="V50" i="3"/>
  <c r="Z50" i="3" s="1"/>
  <c r="U50" i="3"/>
  <c r="T50" i="3"/>
  <c r="R50" i="3"/>
  <c r="Q50" i="3"/>
  <c r="O50" i="3"/>
  <c r="N50" i="3"/>
  <c r="K50" i="3"/>
  <c r="J50" i="3"/>
  <c r="AB49" i="3"/>
  <c r="AA49" i="3"/>
  <c r="X49" i="3"/>
  <c r="U49" i="3"/>
  <c r="T49" i="3"/>
  <c r="R49" i="3"/>
  <c r="Q49" i="3"/>
  <c r="O49" i="3"/>
  <c r="N49" i="3"/>
  <c r="L49" i="3"/>
  <c r="K49" i="3"/>
  <c r="J49" i="3"/>
  <c r="AB48" i="3"/>
  <c r="AA48" i="3"/>
  <c r="Y48" i="3"/>
  <c r="X48" i="3"/>
  <c r="W48" i="3"/>
  <c r="V48" i="3"/>
  <c r="Z48" i="3" s="1"/>
  <c r="U48" i="3"/>
  <c r="S48" i="3"/>
  <c r="R48" i="3"/>
  <c r="P48" i="3"/>
  <c r="T48" i="3" s="1"/>
  <c r="O48" i="3"/>
  <c r="N48" i="3"/>
  <c r="M48" i="3"/>
  <c r="Q48" i="3" s="1"/>
  <c r="K48" i="3"/>
  <c r="J48" i="3"/>
  <c r="AA47" i="3"/>
  <c r="Y47" i="3"/>
  <c r="X47" i="3"/>
  <c r="V47" i="3"/>
  <c r="Z47" i="3" s="1"/>
  <c r="U47" i="3"/>
  <c r="T47" i="3"/>
  <c r="R47" i="3"/>
  <c r="Q47" i="3"/>
  <c r="O47" i="3"/>
  <c r="N47" i="3"/>
  <c r="K47" i="3"/>
  <c r="J47" i="3"/>
  <c r="AB46" i="3"/>
  <c r="K46" i="3"/>
  <c r="J46" i="3"/>
  <c r="AB45" i="3"/>
  <c r="AA45" i="3"/>
  <c r="X45" i="3"/>
  <c r="W45" i="3"/>
  <c r="V45" i="3"/>
  <c r="Z45" i="3" s="1"/>
  <c r="U45" i="3"/>
  <c r="S45" i="3"/>
  <c r="R45" i="3"/>
  <c r="P45" i="3"/>
  <c r="T45" i="3" s="1"/>
  <c r="O45" i="3"/>
  <c r="N45" i="3"/>
  <c r="M45" i="3"/>
  <c r="K45" i="3"/>
  <c r="J45" i="3"/>
  <c r="AA44" i="3"/>
  <c r="X44" i="3"/>
  <c r="V44" i="3"/>
  <c r="Y44" i="3" s="1"/>
  <c r="U44" i="3"/>
  <c r="S44" i="3"/>
  <c r="R44" i="3"/>
  <c r="Q44" i="3"/>
  <c r="P44" i="3"/>
  <c r="T44" i="3" s="1"/>
  <c r="O44" i="3"/>
  <c r="N44" i="3"/>
  <c r="K44" i="3"/>
  <c r="J44" i="3"/>
  <c r="AA43" i="3"/>
  <c r="X43" i="3"/>
  <c r="W43" i="3"/>
  <c r="V43" i="3"/>
  <c r="Z43" i="3" s="1"/>
  <c r="U43" i="3"/>
  <c r="S43" i="3"/>
  <c r="R43" i="3"/>
  <c r="P43" i="3"/>
  <c r="T43" i="3" s="1"/>
  <c r="O43" i="3"/>
  <c r="N43" i="3"/>
  <c r="M43" i="3"/>
  <c r="Q43" i="3" s="1"/>
  <c r="K43" i="3"/>
  <c r="J43" i="3"/>
  <c r="AA42" i="3"/>
  <c r="X42" i="3"/>
  <c r="V42" i="3"/>
  <c r="U42" i="3"/>
  <c r="T42" i="3"/>
  <c r="R42" i="3"/>
  <c r="Q42" i="3"/>
  <c r="O42" i="3"/>
  <c r="N42" i="3"/>
  <c r="K42" i="3"/>
  <c r="J42" i="3"/>
  <c r="V41" i="3"/>
  <c r="Y41" i="3" s="1"/>
  <c r="AB40" i="3"/>
  <c r="Y40" i="3"/>
  <c r="Y39" i="3"/>
  <c r="V39" i="3"/>
  <c r="AB38" i="3"/>
  <c r="Y38" i="3"/>
  <c r="V38" i="3"/>
  <c r="AA37" i="3"/>
  <c r="X37" i="3"/>
  <c r="V37" i="3"/>
  <c r="Y37" i="3" s="1"/>
  <c r="U37" i="3"/>
  <c r="T37" i="3"/>
  <c r="R37" i="3"/>
  <c r="Q37" i="3"/>
  <c r="O37" i="3"/>
  <c r="N37" i="3"/>
  <c r="K37" i="3"/>
  <c r="J37" i="3"/>
  <c r="AA36" i="3"/>
  <c r="X36" i="3"/>
  <c r="V36" i="3"/>
  <c r="Y36" i="3" s="1"/>
  <c r="U36" i="3"/>
  <c r="T36" i="3"/>
  <c r="R36" i="3"/>
  <c r="Q36" i="3"/>
  <c r="O36" i="3"/>
  <c r="N36" i="3"/>
  <c r="K36" i="3"/>
  <c r="J36" i="3"/>
  <c r="AA35" i="3"/>
  <c r="X35" i="3"/>
  <c r="V35" i="3"/>
  <c r="Y35" i="3" s="1"/>
  <c r="U35" i="3"/>
  <c r="T35" i="3"/>
  <c r="R35" i="3"/>
  <c r="Q35" i="3"/>
  <c r="O35" i="3"/>
  <c r="N35" i="3"/>
  <c r="K35" i="3"/>
  <c r="J35" i="3"/>
  <c r="AA34" i="3"/>
  <c r="X34" i="3"/>
  <c r="V34" i="3"/>
  <c r="W34" i="3" s="1"/>
  <c r="U34" i="3"/>
  <c r="T34" i="3"/>
  <c r="R34" i="3"/>
  <c r="Q34" i="3"/>
  <c r="O34" i="3"/>
  <c r="N34" i="3"/>
  <c r="L34" i="3"/>
  <c r="K34" i="3"/>
  <c r="J34" i="3"/>
  <c r="AB33" i="3"/>
  <c r="AA33" i="3"/>
  <c r="Y33" i="3"/>
  <c r="X33" i="3"/>
  <c r="W33" i="3"/>
  <c r="V33" i="3"/>
  <c r="Z33" i="3" s="1"/>
  <c r="U33" i="3"/>
  <c r="S33" i="3"/>
  <c r="R33" i="3"/>
  <c r="P33" i="3"/>
  <c r="T33" i="3" s="1"/>
  <c r="O33" i="3"/>
  <c r="N33" i="3"/>
  <c r="M33" i="3"/>
  <c r="Q33" i="3" s="1"/>
  <c r="K33" i="3"/>
  <c r="J33" i="3"/>
  <c r="AB32" i="3"/>
  <c r="AA32" i="3"/>
  <c r="AA30" i="3" s="1"/>
  <c r="Y32" i="3"/>
  <c r="X32" i="3"/>
  <c r="W32" i="3"/>
  <c r="V32" i="3"/>
  <c r="Z32" i="3" s="1"/>
  <c r="U32" i="3"/>
  <c r="S32" i="3"/>
  <c r="S30" i="3" s="1"/>
  <c r="R32" i="3"/>
  <c r="P32" i="3"/>
  <c r="T32" i="3" s="1"/>
  <c r="O32" i="3"/>
  <c r="N32" i="3"/>
  <c r="M32" i="3"/>
  <c r="Q32" i="3" s="1"/>
  <c r="K32" i="3"/>
  <c r="K30" i="3" s="1"/>
  <c r="J32" i="3"/>
  <c r="AB31" i="3"/>
  <c r="AA31" i="3"/>
  <c r="Y31" i="3"/>
  <c r="X31" i="3"/>
  <c r="W31" i="3"/>
  <c r="V31" i="3"/>
  <c r="Z31" i="3" s="1"/>
  <c r="U31" i="3"/>
  <c r="S31" i="3"/>
  <c r="R31" i="3"/>
  <c r="P31" i="3"/>
  <c r="T31" i="3" s="1"/>
  <c r="O31" i="3"/>
  <c r="N31" i="3"/>
  <c r="M31" i="3"/>
  <c r="Q31" i="3" s="1"/>
  <c r="K31" i="3"/>
  <c r="J31" i="3"/>
  <c r="X30" i="3"/>
  <c r="U30" i="3"/>
  <c r="R30" i="3"/>
  <c r="O30" i="3"/>
  <c r="L30" i="3"/>
  <c r="J30" i="3"/>
  <c r="I30" i="3"/>
  <c r="H30" i="3"/>
  <c r="G30" i="3"/>
  <c r="AC28" i="3"/>
  <c r="Z28" i="3"/>
  <c r="W28" i="3"/>
  <c r="T28" i="3"/>
  <c r="Q28" i="3"/>
  <c r="N28" i="3"/>
  <c r="AA27" i="3"/>
  <c r="X27" i="3"/>
  <c r="W27" i="3"/>
  <c r="V27" i="3"/>
  <c r="U27" i="3"/>
  <c r="S27" i="3"/>
  <c r="R27" i="3"/>
  <c r="P27" i="3"/>
  <c r="T27" i="3" s="1"/>
  <c r="O27" i="3"/>
  <c r="N27" i="3"/>
  <c r="K27" i="3"/>
  <c r="J27" i="3"/>
  <c r="AA26" i="3"/>
  <c r="X26" i="3"/>
  <c r="V26" i="3"/>
  <c r="U26" i="3"/>
  <c r="R26" i="3"/>
  <c r="P26" i="3"/>
  <c r="T26" i="3" s="1"/>
  <c r="O26" i="3"/>
  <c r="N26" i="3"/>
  <c r="K26" i="3"/>
  <c r="J26" i="3"/>
  <c r="AA25" i="3"/>
  <c r="X25" i="3"/>
  <c r="W25" i="3"/>
  <c r="V25" i="3"/>
  <c r="Y25" i="3" s="1"/>
  <c r="U25" i="3"/>
  <c r="S25" i="3"/>
  <c r="R25" i="3"/>
  <c r="P25" i="3"/>
  <c r="T25" i="3" s="1"/>
  <c r="O25" i="3"/>
  <c r="N25" i="3"/>
  <c r="M25" i="3"/>
  <c r="Q25" i="3" s="1"/>
  <c r="K25" i="3"/>
  <c r="J25" i="3"/>
  <c r="AA24" i="3"/>
  <c r="X24" i="3"/>
  <c r="V24" i="3"/>
  <c r="W24" i="3" s="1"/>
  <c r="U24" i="3"/>
  <c r="T24" i="3"/>
  <c r="R24" i="3"/>
  <c r="Q24" i="3"/>
  <c r="O24" i="3"/>
  <c r="N24" i="3"/>
  <c r="L24" i="3"/>
  <c r="K24" i="3"/>
  <c r="J24" i="3"/>
  <c r="AA23" i="3"/>
  <c r="X23" i="3"/>
  <c r="V23" i="3"/>
  <c r="Y23" i="3" s="1"/>
  <c r="U23" i="3"/>
  <c r="R23" i="3"/>
  <c r="P23" i="3"/>
  <c r="T23" i="3" s="1"/>
  <c r="O23" i="3"/>
  <c r="N23" i="3"/>
  <c r="K23" i="3"/>
  <c r="J23" i="3"/>
  <c r="AA22" i="3"/>
  <c r="X22" i="3"/>
  <c r="V22" i="3"/>
  <c r="U22" i="3"/>
  <c r="T22" i="3"/>
  <c r="R22" i="3"/>
  <c r="Q22" i="3"/>
  <c r="O22" i="3"/>
  <c r="N22" i="3"/>
  <c r="K22" i="3"/>
  <c r="J22" i="3"/>
  <c r="AA21" i="3"/>
  <c r="X21" i="3"/>
  <c r="W21" i="3"/>
  <c r="V21" i="3"/>
  <c r="Z21" i="3" s="1"/>
  <c r="U21" i="3"/>
  <c r="T21" i="3"/>
  <c r="R21" i="3"/>
  <c r="Q21" i="3"/>
  <c r="O21" i="3"/>
  <c r="N21" i="3"/>
  <c r="K21" i="3"/>
  <c r="J21" i="3"/>
  <c r="AA20" i="3"/>
  <c r="X20" i="3"/>
  <c r="V20" i="3"/>
  <c r="U20" i="3"/>
  <c r="T20" i="3"/>
  <c r="R20" i="3"/>
  <c r="Q20" i="3"/>
  <c r="O20" i="3"/>
  <c r="N20" i="3"/>
  <c r="K20" i="3"/>
  <c r="J20" i="3"/>
  <c r="AA19" i="3"/>
  <c r="X19" i="3"/>
  <c r="V19" i="3"/>
  <c r="U19" i="3"/>
  <c r="T19" i="3"/>
  <c r="R19" i="3"/>
  <c r="Q19" i="3"/>
  <c r="O19" i="3"/>
  <c r="N19" i="3"/>
  <c r="K19" i="3"/>
  <c r="J19" i="3"/>
  <c r="AA18" i="3"/>
  <c r="X18" i="3"/>
  <c r="V18" i="3"/>
  <c r="U18" i="3"/>
  <c r="T18" i="3"/>
  <c r="R18" i="3"/>
  <c r="Q18" i="3"/>
  <c r="O18" i="3"/>
  <c r="N18" i="3"/>
  <c r="K18" i="3"/>
  <c r="J18" i="3"/>
  <c r="AA17" i="3"/>
  <c r="X17" i="3"/>
  <c r="V17" i="3"/>
  <c r="V16" i="3" s="1"/>
  <c r="V11" i="3" s="1"/>
  <c r="U17" i="3"/>
  <c r="T17" i="3"/>
  <c r="R17" i="3"/>
  <c r="Q17" i="3"/>
  <c r="O17" i="3"/>
  <c r="N17" i="3"/>
  <c r="K17" i="3"/>
  <c r="J17" i="3"/>
  <c r="AA16" i="3"/>
  <c r="X16" i="3"/>
  <c r="U16" i="3"/>
  <c r="T16" i="3"/>
  <c r="R16" i="3"/>
  <c r="Q16" i="3"/>
  <c r="O16" i="3"/>
  <c r="N16" i="3"/>
  <c r="L16" i="3"/>
  <c r="K16" i="3"/>
  <c r="J16" i="3"/>
  <c r="AA15" i="3"/>
  <c r="X15" i="3"/>
  <c r="V15" i="3"/>
  <c r="Y15" i="3" s="1"/>
  <c r="U15" i="3"/>
  <c r="R15" i="3"/>
  <c r="P15" i="3"/>
  <c r="T15" i="3" s="1"/>
  <c r="O15" i="3"/>
  <c r="N15" i="3"/>
  <c r="K15" i="3"/>
  <c r="J15" i="3"/>
  <c r="AA14" i="3"/>
  <c r="X14" i="3"/>
  <c r="V14" i="3"/>
  <c r="U14" i="3"/>
  <c r="T14" i="3"/>
  <c r="R14" i="3"/>
  <c r="Q14" i="3"/>
  <c r="O14" i="3"/>
  <c r="N14" i="3"/>
  <c r="K14" i="3"/>
  <c r="J14" i="3"/>
  <c r="AA13" i="3"/>
  <c r="X13" i="3"/>
  <c r="V13" i="3"/>
  <c r="U13" i="3"/>
  <c r="T13" i="3"/>
  <c r="R13" i="3"/>
  <c r="Q13" i="3"/>
  <c r="O13" i="3"/>
  <c r="N13" i="3"/>
  <c r="K13" i="3"/>
  <c r="J13" i="3"/>
  <c r="J11" i="3" s="1"/>
  <c r="J66" i="3" s="1"/>
  <c r="AA12" i="3"/>
  <c r="X12" i="3"/>
  <c r="X11" i="3" s="1"/>
  <c r="X66" i="3" s="1"/>
  <c r="V12" i="3"/>
  <c r="U12" i="3"/>
  <c r="U11" i="3" s="1"/>
  <c r="U66" i="3" s="1"/>
  <c r="T12" i="3"/>
  <c r="R12" i="3"/>
  <c r="R11" i="3" s="1"/>
  <c r="R66" i="3" s="1"/>
  <c r="Q12" i="3"/>
  <c r="O12" i="3"/>
  <c r="O11" i="3" s="1"/>
  <c r="O66" i="3" s="1"/>
  <c r="N12" i="3"/>
  <c r="K12" i="3"/>
  <c r="J12" i="3"/>
  <c r="AA11" i="3"/>
  <c r="S11" i="3"/>
  <c r="P11" i="3"/>
  <c r="M11" i="3"/>
  <c r="N11" i="3" s="1"/>
  <c r="L11" i="3"/>
  <c r="L66" i="3" s="1"/>
  <c r="K11" i="3"/>
  <c r="I11" i="3"/>
  <c r="H11" i="3"/>
  <c r="H66" i="3" s="1"/>
  <c r="G11" i="3"/>
  <c r="G66" i="3" s="1"/>
  <c r="AD10" i="3"/>
  <c r="AC10" i="3"/>
  <c r="Z10" i="3"/>
  <c r="AA10" i="3" s="1"/>
  <c r="X10" i="3"/>
  <c r="T10" i="3"/>
  <c r="AE10" i="3" s="1"/>
  <c r="Q10" i="3"/>
  <c r="R10" i="3" s="1"/>
  <c r="N10" i="3"/>
  <c r="O10" i="3" s="1"/>
  <c r="J10" i="3"/>
  <c r="K10" i="3" s="1"/>
  <c r="G10" i="3"/>
  <c r="Z9" i="3"/>
  <c r="W9" i="3"/>
  <c r="T9" i="3"/>
  <c r="Q9" i="3"/>
  <c r="N9" i="3"/>
  <c r="R8" i="3"/>
  <c r="O8" i="3"/>
  <c r="K8" i="3"/>
  <c r="J8" i="3"/>
  <c r="I8" i="3"/>
  <c r="H8" i="3"/>
  <c r="G8" i="3"/>
  <c r="F6" i="3"/>
  <c r="K66" i="3" l="1"/>
  <c r="S66" i="3"/>
  <c r="S71" i="3" s="1"/>
  <c r="AA66" i="3"/>
  <c r="W30" i="3"/>
  <c r="M30" i="3"/>
  <c r="P30" i="3"/>
  <c r="T30" i="3" s="1"/>
  <c r="V30" i="3"/>
  <c r="V66" i="3" s="1"/>
  <c r="Q45" i="3"/>
  <c r="T69" i="3"/>
  <c r="T70" i="3"/>
  <c r="W15" i="3"/>
  <c r="Y43" i="3"/>
  <c r="AB43" i="3" s="1"/>
  <c r="W44" i="3"/>
  <c r="Z15" i="3"/>
  <c r="Z44" i="3"/>
  <c r="N51" i="3"/>
  <c r="W55" i="3"/>
  <c r="AB41" i="3"/>
  <c r="Y34" i="3"/>
  <c r="AB36" i="3"/>
  <c r="U10" i="3"/>
  <c r="G71" i="3"/>
  <c r="G67" i="3"/>
  <c r="I66" i="3"/>
  <c r="M66" i="3"/>
  <c r="Q11" i="3"/>
  <c r="W11" i="3"/>
  <c r="W12" i="3"/>
  <c r="Y12" i="3"/>
  <c r="W13" i="3"/>
  <c r="Y13" i="3"/>
  <c r="W14" i="3"/>
  <c r="Y14" i="3"/>
  <c r="Q15" i="3"/>
  <c r="W16" i="3"/>
  <c r="Y16" i="3"/>
  <c r="W17" i="3"/>
  <c r="Y17" i="3"/>
  <c r="W18" i="3"/>
  <c r="Y18" i="3"/>
  <c r="W19" i="3"/>
  <c r="Y19" i="3"/>
  <c r="W20" i="3"/>
  <c r="Y20" i="3"/>
  <c r="Y21" i="3"/>
  <c r="W22" i="3"/>
  <c r="Y22" i="3"/>
  <c r="Z22" i="3" s="1"/>
  <c r="Q23" i="3"/>
  <c r="Z23" i="3"/>
  <c r="Y24" i="3"/>
  <c r="Z25" i="3"/>
  <c r="W26" i="3"/>
  <c r="Y26" i="3"/>
  <c r="Z26" i="3" s="1"/>
  <c r="Q27" i="3"/>
  <c r="Y27" i="3"/>
  <c r="V29" i="3"/>
  <c r="N30" i="3"/>
  <c r="Z34" i="3"/>
  <c r="Z35" i="3"/>
  <c r="Z36" i="3"/>
  <c r="Z37" i="3"/>
  <c r="AB39" i="3"/>
  <c r="AB37" i="3" s="1"/>
  <c r="W42" i="3"/>
  <c r="Y42" i="3"/>
  <c r="H71" i="3"/>
  <c r="J71" i="3"/>
  <c r="T11" i="3"/>
  <c r="W23" i="3"/>
  <c r="Q26" i="3"/>
  <c r="M29" i="3"/>
  <c r="W35" i="3"/>
  <c r="W36" i="3"/>
  <c r="W37" i="3"/>
  <c r="I71" i="3"/>
  <c r="M71" i="3"/>
  <c r="AB44" i="3"/>
  <c r="W47" i="3"/>
  <c r="W49" i="3"/>
  <c r="W50" i="3"/>
  <c r="W51" i="3"/>
  <c r="Y51" i="3"/>
  <c r="N58" i="3"/>
  <c r="N68" i="3"/>
  <c r="Q68" i="3"/>
  <c r="T68" i="3"/>
  <c r="N69" i="3"/>
  <c r="N70" i="3"/>
  <c r="N72" i="3"/>
  <c r="W68" i="3"/>
  <c r="V71" i="3" l="1"/>
  <c r="V73" i="3"/>
  <c r="AB72" i="3" s="1"/>
  <c r="V67" i="3"/>
  <c r="Q30" i="3"/>
  <c r="P66" i="3"/>
  <c r="Y49" i="3"/>
  <c r="AB42" i="3"/>
  <c r="Y11" i="3"/>
  <c r="Z42" i="3"/>
  <c r="AB34" i="3"/>
  <c r="AB30" i="3" s="1"/>
  <c r="AC30" i="3" s="1"/>
  <c r="Y30" i="3"/>
  <c r="Z20" i="3"/>
  <c r="Z16" i="3"/>
  <c r="Z12" i="3"/>
  <c r="Z17" i="3"/>
  <c r="Z13" i="3"/>
  <c r="N71" i="3"/>
  <c r="W71" i="3"/>
  <c r="Z51" i="3"/>
  <c r="M73" i="3"/>
  <c r="N66" i="3"/>
  <c r="I67" i="3"/>
  <c r="W66" i="3"/>
  <c r="Z27" i="3"/>
  <c r="Z18" i="3"/>
  <c r="Z14" i="3"/>
  <c r="Z24" i="3"/>
  <c r="Z19" i="3"/>
  <c r="Y72" i="3" l="1"/>
  <c r="Z72" i="3" s="1"/>
  <c r="P71" i="3"/>
  <c r="T66" i="3"/>
  <c r="Q66" i="3"/>
  <c r="W73" i="3"/>
  <c r="AB11" i="3"/>
  <c r="Y66" i="3"/>
  <c r="Z11" i="3"/>
  <c r="P72" i="3"/>
  <c r="N73" i="3"/>
  <c r="Z49" i="3"/>
  <c r="W67" i="3"/>
  <c r="N67" i="3"/>
  <c r="Z30" i="3"/>
  <c r="T71" i="3" l="1"/>
  <c r="Q71" i="3"/>
  <c r="P73" i="3"/>
  <c r="Y73" i="3"/>
  <c r="Y71" i="3"/>
  <c r="Y67" i="3"/>
  <c r="Z66" i="3"/>
  <c r="Q72" i="3"/>
  <c r="Z71" i="3" l="1"/>
  <c r="S72" i="3"/>
  <c r="T72" i="3" s="1"/>
  <c r="Z67" i="3"/>
  <c r="Z73" i="3"/>
  <c r="Q73" i="3"/>
  <c r="S73" i="3" l="1"/>
  <c r="W72" i="3" s="1"/>
  <c r="T73" i="3" l="1"/>
  <c r="V72" i="1" l="1"/>
  <c r="M72" i="1"/>
  <c r="AA71" i="1"/>
  <c r="X71" i="1"/>
  <c r="U71" i="1"/>
  <c r="R71" i="1"/>
  <c r="O71" i="1"/>
  <c r="L71" i="1"/>
  <c r="G71" i="1"/>
  <c r="Z70" i="1"/>
  <c r="S70" i="1"/>
  <c r="P70" i="1"/>
  <c r="M70" i="1"/>
  <c r="Q70" i="1" s="1"/>
  <c r="K70" i="1"/>
  <c r="I70" i="1"/>
  <c r="N70" i="1" s="1"/>
  <c r="H70" i="1"/>
  <c r="Z69" i="1"/>
  <c r="S69" i="1"/>
  <c r="P69" i="1"/>
  <c r="M69" i="1"/>
  <c r="Q69" i="1" s="1"/>
  <c r="K69" i="1"/>
  <c r="I69" i="1"/>
  <c r="N69" i="1" s="1"/>
  <c r="H69" i="1"/>
  <c r="Z68" i="1"/>
  <c r="S68" i="1"/>
  <c r="P68" i="1"/>
  <c r="M68" i="1"/>
  <c r="K68" i="1"/>
  <c r="I68" i="1"/>
  <c r="N68" i="1" s="1"/>
  <c r="H68" i="1"/>
  <c r="F66" i="1"/>
  <c r="Z65" i="1"/>
  <c r="Z64" i="1"/>
  <c r="Z63" i="1"/>
  <c r="Z62" i="1"/>
  <c r="AA61" i="1"/>
  <c r="Z61" i="1"/>
  <c r="H61" i="1"/>
  <c r="G61" i="1"/>
  <c r="AA60" i="1"/>
  <c r="Z60" i="1"/>
  <c r="H60" i="1"/>
  <c r="G60" i="1"/>
  <c r="AA59" i="1"/>
  <c r="Z59" i="1"/>
  <c r="H59" i="1"/>
  <c r="G59" i="1"/>
  <c r="AA58" i="1"/>
  <c r="Z58" i="1"/>
  <c r="H58" i="1"/>
  <c r="G58" i="1"/>
  <c r="Z57" i="1"/>
  <c r="W57" i="1"/>
  <c r="T57" i="1"/>
  <c r="Q57" i="1"/>
  <c r="N57" i="1"/>
  <c r="Z56" i="1"/>
  <c r="W56" i="1"/>
  <c r="T56" i="1"/>
  <c r="Q56" i="1"/>
  <c r="N56" i="1"/>
  <c r="W55" i="1"/>
  <c r="V55" i="1"/>
  <c r="Z55" i="1" s="1"/>
  <c r="T55" i="1"/>
  <c r="S55" i="1"/>
  <c r="Q55" i="1"/>
  <c r="P55" i="1"/>
  <c r="N55" i="1"/>
  <c r="M55" i="1"/>
  <c r="K55" i="1"/>
  <c r="AA54" i="1"/>
  <c r="Y54" i="1"/>
  <c r="X54" i="1"/>
  <c r="V54" i="1"/>
  <c r="Z54" i="1" s="1"/>
  <c r="U54" i="1"/>
  <c r="S54" i="1"/>
  <c r="R54" i="1"/>
  <c r="P54" i="1"/>
  <c r="T54" i="1" s="1"/>
  <c r="O54" i="1"/>
  <c r="M54" i="1"/>
  <c r="Q54" i="1" s="1"/>
  <c r="L54" i="1"/>
  <c r="K54" i="1"/>
  <c r="I54" i="1"/>
  <c r="W54" i="1" s="1"/>
  <c r="G54" i="1"/>
  <c r="AA53" i="1"/>
  <c r="Y53" i="1"/>
  <c r="AB53" i="1" s="1"/>
  <c r="X53" i="1"/>
  <c r="V53" i="1"/>
  <c r="Z53" i="1" s="1"/>
  <c r="U53" i="1"/>
  <c r="S53" i="1"/>
  <c r="R53" i="1"/>
  <c r="P53" i="1"/>
  <c r="T53" i="1" s="1"/>
  <c r="O53" i="1"/>
  <c r="M53" i="1"/>
  <c r="Q53" i="1" s="1"/>
  <c r="L53" i="1"/>
  <c r="K53" i="1"/>
  <c r="I53" i="1"/>
  <c r="N53" i="1" s="1"/>
  <c r="G53" i="1"/>
  <c r="AA52" i="1"/>
  <c r="Y52" i="1"/>
  <c r="X52" i="1"/>
  <c r="V52" i="1"/>
  <c r="Z52" i="1" s="1"/>
  <c r="U52" i="1"/>
  <c r="S52" i="1"/>
  <c r="R52" i="1"/>
  <c r="P52" i="1"/>
  <c r="T52" i="1" s="1"/>
  <c r="O52" i="1"/>
  <c r="M52" i="1"/>
  <c r="Q52" i="1" s="1"/>
  <c r="L52" i="1"/>
  <c r="K52" i="1"/>
  <c r="I52" i="1"/>
  <c r="W52" i="1" s="1"/>
  <c r="G52" i="1"/>
  <c r="AA51" i="1"/>
  <c r="X51" i="1"/>
  <c r="V51" i="1"/>
  <c r="U51" i="1"/>
  <c r="S51" i="1"/>
  <c r="R51" i="1"/>
  <c r="P51" i="1"/>
  <c r="T51" i="1" s="1"/>
  <c r="O51" i="1"/>
  <c r="M51" i="1"/>
  <c r="N51" i="1" s="1"/>
  <c r="L51" i="1"/>
  <c r="K51" i="1"/>
  <c r="G51" i="1"/>
  <c r="AA50" i="1"/>
  <c r="Z50" i="1"/>
  <c r="X50" i="1"/>
  <c r="W50" i="1"/>
  <c r="V50" i="1"/>
  <c r="U50" i="1"/>
  <c r="S50" i="1"/>
  <c r="R50" i="1"/>
  <c r="P50" i="1"/>
  <c r="T50" i="1" s="1"/>
  <c r="O50" i="1"/>
  <c r="M50" i="1"/>
  <c r="N50" i="1" s="1"/>
  <c r="L50" i="1"/>
  <c r="K50" i="1"/>
  <c r="G50" i="1"/>
  <c r="AA49" i="1"/>
  <c r="X49" i="1"/>
  <c r="V49" i="1"/>
  <c r="U49" i="1"/>
  <c r="S49" i="1"/>
  <c r="R49" i="1"/>
  <c r="P49" i="1"/>
  <c r="T49" i="1" s="1"/>
  <c r="O49" i="1"/>
  <c r="M49" i="1"/>
  <c r="Q49" i="1" s="1"/>
  <c r="L49" i="1"/>
  <c r="K49" i="1"/>
  <c r="J49" i="1"/>
  <c r="I49" i="1"/>
  <c r="N49" i="1" s="1"/>
  <c r="H49" i="1"/>
  <c r="G49" i="1"/>
  <c r="AA48" i="1"/>
  <c r="Y48" i="1"/>
  <c r="X48" i="1"/>
  <c r="V48" i="1"/>
  <c r="Z48" i="1" s="1"/>
  <c r="U48" i="1"/>
  <c r="S48" i="1"/>
  <c r="R48" i="1"/>
  <c r="P48" i="1"/>
  <c r="T48" i="1" s="1"/>
  <c r="O48" i="1"/>
  <c r="M48" i="1"/>
  <c r="Q48" i="1" s="1"/>
  <c r="L48" i="1"/>
  <c r="K48" i="1"/>
  <c r="J48" i="1"/>
  <c r="I48" i="1"/>
  <c r="W48" i="1" s="1"/>
  <c r="H48" i="1"/>
  <c r="G48" i="1"/>
  <c r="AA47" i="1"/>
  <c r="X47" i="1"/>
  <c r="V47" i="1"/>
  <c r="Y47" i="1" s="1"/>
  <c r="U47" i="1"/>
  <c r="S47" i="1"/>
  <c r="R47" i="1"/>
  <c r="P47" i="1"/>
  <c r="T47" i="1" s="1"/>
  <c r="O47" i="1"/>
  <c r="N47" i="1"/>
  <c r="M47" i="1"/>
  <c r="L47" i="1"/>
  <c r="K47" i="1"/>
  <c r="G47" i="1"/>
  <c r="AB46" i="1"/>
  <c r="L46" i="1"/>
  <c r="K46" i="1"/>
  <c r="G46" i="1"/>
  <c r="AA45" i="1"/>
  <c r="Z45" i="1"/>
  <c r="Y45" i="1"/>
  <c r="X45" i="1"/>
  <c r="W45" i="1"/>
  <c r="U45" i="1"/>
  <c r="S45" i="1"/>
  <c r="R45" i="1"/>
  <c r="P45" i="1"/>
  <c r="T45" i="1" s="1"/>
  <c r="O45" i="1"/>
  <c r="M45" i="1"/>
  <c r="Q45" i="1" s="1"/>
  <c r="L45" i="1"/>
  <c r="K45" i="1"/>
  <c r="G45" i="1"/>
  <c r="AA44" i="1"/>
  <c r="X44" i="1"/>
  <c r="V44" i="1"/>
  <c r="U44" i="1"/>
  <c r="S44" i="1"/>
  <c r="R44" i="1"/>
  <c r="P44" i="1"/>
  <c r="T44" i="1" s="1"/>
  <c r="O44" i="1"/>
  <c r="N44" i="1"/>
  <c r="M44" i="1"/>
  <c r="L44" i="1"/>
  <c r="K44" i="1"/>
  <c r="G44" i="1"/>
  <c r="AA43" i="1"/>
  <c r="Y43" i="1"/>
  <c r="X43" i="1"/>
  <c r="V43" i="1"/>
  <c r="Z43" i="1" s="1"/>
  <c r="U43" i="1"/>
  <c r="S43" i="1"/>
  <c r="R43" i="1"/>
  <c r="P43" i="1"/>
  <c r="T43" i="1" s="1"/>
  <c r="O43" i="1"/>
  <c r="M43" i="1"/>
  <c r="Q43" i="1" s="1"/>
  <c r="L43" i="1"/>
  <c r="K43" i="1"/>
  <c r="I43" i="1"/>
  <c r="N43" i="1" s="1"/>
  <c r="H43" i="1"/>
  <c r="G43" i="1"/>
  <c r="AA42" i="1"/>
  <c r="Y42" i="1"/>
  <c r="AB42" i="1" s="1"/>
  <c r="X42" i="1"/>
  <c r="V42" i="1"/>
  <c r="Z42" i="1" s="1"/>
  <c r="U42" i="1"/>
  <c r="T42" i="1"/>
  <c r="R42" i="1"/>
  <c r="Q42" i="1"/>
  <c r="O42" i="1"/>
  <c r="N42" i="1"/>
  <c r="L42" i="1"/>
  <c r="K42" i="1"/>
  <c r="G42" i="1"/>
  <c r="AB41" i="1"/>
  <c r="Z41" i="1"/>
  <c r="AB40" i="1"/>
  <c r="Z40" i="1"/>
  <c r="AB39" i="1"/>
  <c r="Z39" i="1"/>
  <c r="AB38" i="1"/>
  <c r="Z38" i="1"/>
  <c r="AA37" i="1"/>
  <c r="X37" i="1"/>
  <c r="V37" i="1"/>
  <c r="Z37" i="1" s="1"/>
  <c r="U37" i="1"/>
  <c r="S37" i="1"/>
  <c r="R37" i="1"/>
  <c r="P37" i="1"/>
  <c r="T37" i="1" s="1"/>
  <c r="O37" i="1"/>
  <c r="M37" i="1"/>
  <c r="Q37" i="1" s="1"/>
  <c r="L37" i="1"/>
  <c r="K37" i="1"/>
  <c r="I37" i="1"/>
  <c r="G37" i="1"/>
  <c r="AB36" i="1"/>
  <c r="AA36" i="1"/>
  <c r="Z36" i="1"/>
  <c r="X36" i="1"/>
  <c r="U36" i="1"/>
  <c r="S36" i="1"/>
  <c r="R36" i="1"/>
  <c r="P36" i="1"/>
  <c r="T36" i="1" s="1"/>
  <c r="O36" i="1"/>
  <c r="M36" i="1"/>
  <c r="Q36" i="1" s="1"/>
  <c r="L36" i="1"/>
  <c r="K36" i="1"/>
  <c r="I36" i="1"/>
  <c r="W36" i="1" s="1"/>
  <c r="G36" i="1"/>
  <c r="AB35" i="1"/>
  <c r="AA35" i="1"/>
  <c r="X35" i="1"/>
  <c r="V35" i="1"/>
  <c r="Z35" i="1" s="1"/>
  <c r="U35" i="1"/>
  <c r="S35" i="1"/>
  <c r="R35" i="1"/>
  <c r="P35" i="1"/>
  <c r="T35" i="1" s="1"/>
  <c r="O35" i="1"/>
  <c r="M35" i="1"/>
  <c r="Q35" i="1" s="1"/>
  <c r="L35" i="1"/>
  <c r="K35" i="1"/>
  <c r="I35" i="1"/>
  <c r="W35" i="1" s="1"/>
  <c r="G35" i="1"/>
  <c r="AA34" i="1"/>
  <c r="Y34" i="1"/>
  <c r="X34" i="1"/>
  <c r="V34" i="1"/>
  <c r="Z34" i="1" s="1"/>
  <c r="U34" i="1"/>
  <c r="S34" i="1"/>
  <c r="R34" i="1"/>
  <c r="P34" i="1"/>
  <c r="T34" i="1" s="1"/>
  <c r="O34" i="1"/>
  <c r="M34" i="1"/>
  <c r="Q34" i="1" s="1"/>
  <c r="L34" i="1"/>
  <c r="K34" i="1"/>
  <c r="J34" i="1"/>
  <c r="I34" i="1"/>
  <c r="N34" i="1" s="1"/>
  <c r="G34" i="1"/>
  <c r="AB33" i="1"/>
  <c r="AA33" i="1"/>
  <c r="Y33" i="1"/>
  <c r="X33" i="1"/>
  <c r="V33" i="1"/>
  <c r="Z33" i="1" s="1"/>
  <c r="U33" i="1"/>
  <c r="S33" i="1"/>
  <c r="R33" i="1"/>
  <c r="P33" i="1"/>
  <c r="T33" i="1" s="1"/>
  <c r="O33" i="1"/>
  <c r="M33" i="1"/>
  <c r="Q33" i="1" s="1"/>
  <c r="L33" i="1"/>
  <c r="K33" i="1"/>
  <c r="J33" i="1"/>
  <c r="I33" i="1"/>
  <c r="N33" i="1" s="1"/>
  <c r="H33" i="1"/>
  <c r="G33" i="1"/>
  <c r="AB32" i="1"/>
  <c r="AA32" i="1"/>
  <c r="Y32" i="1"/>
  <c r="X32" i="1"/>
  <c r="V32" i="1"/>
  <c r="Z32" i="1" s="1"/>
  <c r="U32" i="1"/>
  <c r="S32" i="1"/>
  <c r="R32" i="1"/>
  <c r="P32" i="1"/>
  <c r="T32" i="1" s="1"/>
  <c r="O32" i="1"/>
  <c r="M32" i="1"/>
  <c r="Q32" i="1" s="1"/>
  <c r="L32" i="1"/>
  <c r="K32" i="1"/>
  <c r="K30" i="1" s="1"/>
  <c r="J32" i="1"/>
  <c r="I32" i="1"/>
  <c r="W32" i="1" s="1"/>
  <c r="H32" i="1"/>
  <c r="G32" i="1"/>
  <c r="G30" i="1" s="1"/>
  <c r="AB31" i="1"/>
  <c r="AA31" i="1"/>
  <c r="Y31" i="1"/>
  <c r="X31" i="1"/>
  <c r="X30" i="1" s="1"/>
  <c r="V31" i="1"/>
  <c r="Z31" i="1" s="1"/>
  <c r="U31" i="1"/>
  <c r="U30" i="1" s="1"/>
  <c r="S31" i="1"/>
  <c r="R31" i="1"/>
  <c r="R30" i="1" s="1"/>
  <c r="P31" i="1"/>
  <c r="T31" i="1" s="1"/>
  <c r="O31" i="1"/>
  <c r="M31" i="1"/>
  <c r="Q31" i="1" s="1"/>
  <c r="L31" i="1"/>
  <c r="K31" i="1"/>
  <c r="J31" i="1"/>
  <c r="I31" i="1"/>
  <c r="N31" i="1" s="1"/>
  <c r="H31" i="1"/>
  <c r="G31" i="1"/>
  <c r="AA30" i="1"/>
  <c r="V30" i="1"/>
  <c r="S30" i="1"/>
  <c r="O30" i="1"/>
  <c r="L30" i="1"/>
  <c r="J30" i="1"/>
  <c r="H30" i="1"/>
  <c r="Z28" i="1"/>
  <c r="W28" i="1"/>
  <c r="T28" i="1"/>
  <c r="Q28" i="1"/>
  <c r="N28" i="1"/>
  <c r="AA27" i="1"/>
  <c r="X27" i="1"/>
  <c r="V27" i="1"/>
  <c r="U27" i="1"/>
  <c r="S27" i="1"/>
  <c r="R27" i="1"/>
  <c r="P27" i="1"/>
  <c r="O27" i="1"/>
  <c r="M27" i="1"/>
  <c r="Q27" i="1" s="1"/>
  <c r="L27" i="1"/>
  <c r="K27" i="1"/>
  <c r="J27" i="1"/>
  <c r="I27" i="1"/>
  <c r="N27" i="1" s="1"/>
  <c r="G27" i="1"/>
  <c r="AA26" i="1"/>
  <c r="X26" i="1"/>
  <c r="V26" i="1"/>
  <c r="U26" i="1"/>
  <c r="S26" i="1"/>
  <c r="R26" i="1"/>
  <c r="Q26" i="1"/>
  <c r="P26" i="1"/>
  <c r="O26" i="1"/>
  <c r="M26" i="1"/>
  <c r="L26" i="1"/>
  <c r="K26" i="1"/>
  <c r="I26" i="1"/>
  <c r="N26" i="1" s="1"/>
  <c r="G26" i="1"/>
  <c r="AA25" i="1"/>
  <c r="X25" i="1"/>
  <c r="V25" i="1"/>
  <c r="Y25" i="1" s="1"/>
  <c r="U25" i="1"/>
  <c r="T25" i="1"/>
  <c r="S25" i="1"/>
  <c r="R25" i="1"/>
  <c r="P25" i="1"/>
  <c r="O25" i="1"/>
  <c r="M25" i="1"/>
  <c r="Q25" i="1" s="1"/>
  <c r="L25" i="1"/>
  <c r="K25" i="1"/>
  <c r="I25" i="1"/>
  <c r="W25" i="1" s="1"/>
  <c r="G25" i="1"/>
  <c r="AA24" i="1"/>
  <c r="X24" i="1"/>
  <c r="V24" i="1"/>
  <c r="U24" i="1"/>
  <c r="S24" i="1"/>
  <c r="R24" i="1"/>
  <c r="Q24" i="1"/>
  <c r="P24" i="1"/>
  <c r="O24" i="1"/>
  <c r="M24" i="1"/>
  <c r="L24" i="1"/>
  <c r="K24" i="1"/>
  <c r="I24" i="1"/>
  <c r="N24" i="1" s="1"/>
  <c r="G24" i="1"/>
  <c r="AA23" i="1"/>
  <c r="X23" i="1"/>
  <c r="V23" i="1"/>
  <c r="Y23" i="1" s="1"/>
  <c r="U23" i="1"/>
  <c r="T23" i="1"/>
  <c r="S23" i="1"/>
  <c r="R23" i="1"/>
  <c r="P23" i="1"/>
  <c r="O23" i="1"/>
  <c r="M23" i="1"/>
  <c r="Q23" i="1" s="1"/>
  <c r="L23" i="1"/>
  <c r="K23" i="1"/>
  <c r="I23" i="1"/>
  <c r="G23" i="1"/>
  <c r="AA22" i="1"/>
  <c r="X22" i="1"/>
  <c r="V22" i="1"/>
  <c r="U22" i="1"/>
  <c r="S22" i="1"/>
  <c r="R22" i="1"/>
  <c r="Q22" i="1"/>
  <c r="P22" i="1"/>
  <c r="O22" i="1"/>
  <c r="M22" i="1"/>
  <c r="N22" i="1" s="1"/>
  <c r="L22" i="1"/>
  <c r="K22" i="1"/>
  <c r="G22" i="1"/>
  <c r="AA21" i="1"/>
  <c r="Y21" i="1"/>
  <c r="X21" i="1"/>
  <c r="W21" i="1"/>
  <c r="V21" i="1"/>
  <c r="Z21" i="1" s="1"/>
  <c r="U21" i="1"/>
  <c r="S21" i="1"/>
  <c r="R21" i="1"/>
  <c r="P21" i="1"/>
  <c r="O21" i="1"/>
  <c r="M21" i="1"/>
  <c r="Q21" i="1" s="1"/>
  <c r="L21" i="1"/>
  <c r="K21" i="1"/>
  <c r="I21" i="1"/>
  <c r="N21" i="1" s="1"/>
  <c r="G21" i="1"/>
  <c r="AA20" i="1"/>
  <c r="X20" i="1"/>
  <c r="V20" i="1"/>
  <c r="U20" i="1"/>
  <c r="S20" i="1"/>
  <c r="R20" i="1"/>
  <c r="P20" i="1"/>
  <c r="T20" i="1" s="1"/>
  <c r="O20" i="1"/>
  <c r="N20" i="1"/>
  <c r="M20" i="1"/>
  <c r="L20" i="1"/>
  <c r="K20" i="1"/>
  <c r="G20" i="1"/>
  <c r="AA19" i="1"/>
  <c r="X19" i="1"/>
  <c r="V19" i="1"/>
  <c r="U19" i="1"/>
  <c r="S19" i="1"/>
  <c r="R19" i="1"/>
  <c r="P19" i="1"/>
  <c r="T19" i="1" s="1"/>
  <c r="O19" i="1"/>
  <c r="N19" i="1"/>
  <c r="M19" i="1"/>
  <c r="L19" i="1"/>
  <c r="K19" i="1"/>
  <c r="G19" i="1"/>
  <c r="AA18" i="1"/>
  <c r="X18" i="1"/>
  <c r="V18" i="1"/>
  <c r="U18" i="1"/>
  <c r="S18" i="1"/>
  <c r="R18" i="1"/>
  <c r="P18" i="1"/>
  <c r="T18" i="1" s="1"/>
  <c r="O18" i="1"/>
  <c r="M18" i="1"/>
  <c r="Q18" i="1" s="1"/>
  <c r="L18" i="1"/>
  <c r="K18" i="1"/>
  <c r="G18" i="1"/>
  <c r="AA17" i="1"/>
  <c r="X17" i="1"/>
  <c r="V17" i="1"/>
  <c r="U17" i="1"/>
  <c r="S17" i="1"/>
  <c r="R17" i="1"/>
  <c r="P17" i="1"/>
  <c r="T17" i="1" s="1"/>
  <c r="O17" i="1"/>
  <c r="M17" i="1"/>
  <c r="Q17" i="1" s="1"/>
  <c r="L17" i="1"/>
  <c r="K17" i="1"/>
  <c r="I17" i="1"/>
  <c r="G17" i="1"/>
  <c r="AA16" i="1"/>
  <c r="X16" i="1"/>
  <c r="V16" i="1"/>
  <c r="Y16" i="1" s="1"/>
  <c r="U16" i="1"/>
  <c r="S16" i="1"/>
  <c r="R16" i="1"/>
  <c r="P16" i="1"/>
  <c r="T16" i="1" s="1"/>
  <c r="O16" i="1"/>
  <c r="M16" i="1"/>
  <c r="Q16" i="1" s="1"/>
  <c r="L16" i="1"/>
  <c r="K16" i="1"/>
  <c r="G16" i="1"/>
  <c r="AA15" i="1"/>
  <c r="X15" i="1"/>
  <c r="V15" i="1"/>
  <c r="Y15" i="1" s="1"/>
  <c r="U15" i="1"/>
  <c r="S15" i="1"/>
  <c r="S11" i="1" s="1"/>
  <c r="S66" i="1" s="1"/>
  <c r="R15" i="1"/>
  <c r="P15" i="1"/>
  <c r="T15" i="1" s="1"/>
  <c r="O15" i="1"/>
  <c r="M15" i="1"/>
  <c r="Q15" i="1" s="1"/>
  <c r="L15" i="1"/>
  <c r="K15" i="1"/>
  <c r="I15" i="1"/>
  <c r="G15" i="1"/>
  <c r="AA14" i="1"/>
  <c r="Y14" i="1"/>
  <c r="X14" i="1"/>
  <c r="W14" i="1"/>
  <c r="V14" i="1"/>
  <c r="U14" i="1"/>
  <c r="T14" i="1"/>
  <c r="R14" i="1"/>
  <c r="Q14" i="1"/>
  <c r="O14" i="1"/>
  <c r="N14" i="1"/>
  <c r="L14" i="1"/>
  <c r="K14" i="1"/>
  <c r="G14" i="1"/>
  <c r="AA13" i="1"/>
  <c r="X13" i="1"/>
  <c r="V13" i="1"/>
  <c r="Y13" i="1" s="1"/>
  <c r="U13" i="1"/>
  <c r="S13" i="1"/>
  <c r="R13" i="1"/>
  <c r="P13" i="1"/>
  <c r="O13" i="1"/>
  <c r="M13" i="1"/>
  <c r="Q13" i="1" s="1"/>
  <c r="L13" i="1"/>
  <c r="K13" i="1"/>
  <c r="I13" i="1"/>
  <c r="W13" i="1" s="1"/>
  <c r="G13" i="1"/>
  <c r="AA12" i="1"/>
  <c r="AA11" i="1" s="1"/>
  <c r="AA66" i="1" s="1"/>
  <c r="X12" i="1"/>
  <c r="V12" i="1"/>
  <c r="U12" i="1"/>
  <c r="T12" i="1"/>
  <c r="R12" i="1"/>
  <c r="R11" i="1" s="1"/>
  <c r="Q12" i="1"/>
  <c r="O12" i="1"/>
  <c r="L12" i="1"/>
  <c r="K12" i="1"/>
  <c r="I12" i="1"/>
  <c r="N12" i="1" s="1"/>
  <c r="G12" i="1"/>
  <c r="U11" i="1"/>
  <c r="O11" i="1"/>
  <c r="O66" i="1" s="1"/>
  <c r="K11" i="1"/>
  <c r="J11" i="1"/>
  <c r="I11" i="1"/>
  <c r="H11" i="1"/>
  <c r="G11" i="1"/>
  <c r="AD10" i="1"/>
  <c r="AC10" i="1"/>
  <c r="AA10" i="1"/>
  <c r="Z10" i="1"/>
  <c r="X10" i="1"/>
  <c r="W10" i="1"/>
  <c r="U10" i="1"/>
  <c r="T10" i="1"/>
  <c r="AE10" i="1" s="1"/>
  <c r="R10" i="1"/>
  <c r="Q10" i="1"/>
  <c r="O10" i="1"/>
  <c r="N10" i="1"/>
  <c r="I10" i="1"/>
  <c r="K10" i="1" s="1"/>
  <c r="L10" i="1" s="1"/>
  <c r="F10" i="1"/>
  <c r="G10" i="1" s="1"/>
  <c r="Z9" i="1"/>
  <c r="W9" i="1"/>
  <c r="T9" i="1"/>
  <c r="Q9" i="1"/>
  <c r="N9" i="1"/>
  <c r="R8" i="1"/>
  <c r="O8" i="1"/>
  <c r="L8" i="1"/>
  <c r="K8" i="1"/>
  <c r="I8" i="1"/>
  <c r="H8" i="1"/>
  <c r="G8" i="1"/>
  <c r="F6" i="1"/>
  <c r="G66" i="1" l="1"/>
  <c r="K66" i="1"/>
  <c r="K71" i="1" s="1"/>
  <c r="U66" i="1"/>
  <c r="R66" i="1"/>
  <c r="X11" i="1"/>
  <c r="X66" i="1" s="1"/>
  <c r="H66" i="1"/>
  <c r="J66" i="1"/>
  <c r="M11" i="1"/>
  <c r="M66" i="1" s="1"/>
  <c r="M71" i="1" s="1"/>
  <c r="L11" i="1"/>
  <c r="L66" i="1" s="1"/>
  <c r="Z12" i="1"/>
  <c r="Y12" i="1"/>
  <c r="P11" i="1"/>
  <c r="P66" i="1" s="1"/>
  <c r="Z14" i="1"/>
  <c r="W15" i="1"/>
  <c r="N16" i="1"/>
  <c r="N17" i="1"/>
  <c r="W17" i="1"/>
  <c r="Y17" i="1"/>
  <c r="Q19" i="1"/>
  <c r="Q20" i="1"/>
  <c r="W22" i="1"/>
  <c r="Y22" i="1"/>
  <c r="W24" i="1"/>
  <c r="Y24" i="1"/>
  <c r="W26" i="1"/>
  <c r="Y26" i="1"/>
  <c r="Y27" i="1"/>
  <c r="I30" i="1"/>
  <c r="M30" i="1"/>
  <c r="Q30" i="1" s="1"/>
  <c r="P30" i="1"/>
  <c r="N37" i="1"/>
  <c r="AB43" i="1"/>
  <c r="Q44" i="1"/>
  <c r="N45" i="1"/>
  <c r="Q47" i="1"/>
  <c r="W51" i="1"/>
  <c r="Y51" i="1"/>
  <c r="AB52" i="1"/>
  <c r="W53" i="1"/>
  <c r="AB54" i="1"/>
  <c r="T68" i="1"/>
  <c r="T69" i="1"/>
  <c r="T70" i="1"/>
  <c r="T11" i="1"/>
  <c r="M80" i="1"/>
  <c r="M29" i="1"/>
  <c r="W12" i="1"/>
  <c r="N13" i="1"/>
  <c r="T13" i="1"/>
  <c r="Z15" i="1"/>
  <c r="Z16" i="1"/>
  <c r="Z25" i="1"/>
  <c r="I66" i="1"/>
  <c r="I71" i="1" s="1"/>
  <c r="I80" i="1"/>
  <c r="S67" i="1"/>
  <c r="Z13" i="1"/>
  <c r="N15" i="1"/>
  <c r="Y18" i="1"/>
  <c r="W18" i="1"/>
  <c r="Y19" i="1"/>
  <c r="Z19" i="1" s="1"/>
  <c r="W19" i="1"/>
  <c r="Y20" i="1"/>
  <c r="W20" i="1"/>
  <c r="Z23" i="1"/>
  <c r="V11" i="1"/>
  <c r="W16" i="1"/>
  <c r="N18" i="1"/>
  <c r="T21" i="1"/>
  <c r="T22" i="1"/>
  <c r="W23" i="1"/>
  <c r="N23" i="1"/>
  <c r="T24" i="1"/>
  <c r="N25" i="1"/>
  <c r="T26" i="1"/>
  <c r="T27" i="1"/>
  <c r="W27" i="1"/>
  <c r="W30" i="1"/>
  <c r="N30" i="1"/>
  <c r="T30" i="1"/>
  <c r="W31" i="1"/>
  <c r="N32" i="1"/>
  <c r="W33" i="1"/>
  <c r="W34" i="1"/>
  <c r="N35" i="1"/>
  <c r="N36" i="1"/>
  <c r="W37" i="1"/>
  <c r="AB37" i="1"/>
  <c r="W42" i="1"/>
  <c r="W43" i="1"/>
  <c r="W44" i="1"/>
  <c r="Y44" i="1"/>
  <c r="AB45" i="1"/>
  <c r="S71" i="1"/>
  <c r="W47" i="1"/>
  <c r="Z47" i="1"/>
  <c r="N48" i="1"/>
  <c r="W49" i="1"/>
  <c r="Q50" i="1"/>
  <c r="Q51" i="1"/>
  <c r="N52" i="1"/>
  <c r="N54" i="1"/>
  <c r="W68" i="1"/>
  <c r="W69" i="1"/>
  <c r="W70" i="1"/>
  <c r="Q68" i="1"/>
  <c r="N72" i="1"/>
  <c r="AB11" i="1" l="1"/>
  <c r="Y49" i="1"/>
  <c r="Z24" i="1"/>
  <c r="Z17" i="1"/>
  <c r="N11" i="1"/>
  <c r="Q11" i="1"/>
  <c r="Y11" i="1"/>
  <c r="Z27" i="1"/>
  <c r="Z51" i="1"/>
  <c r="Z26" i="1"/>
  <c r="Z22" i="1"/>
  <c r="N71" i="1"/>
  <c r="AB44" i="1"/>
  <c r="Y30" i="1"/>
  <c r="V66" i="1"/>
  <c r="Z11" i="1"/>
  <c r="V29" i="1"/>
  <c r="W29" i="1" s="1"/>
  <c r="Z44" i="1"/>
  <c r="W66" i="1"/>
  <c r="I67" i="1"/>
  <c r="N66" i="1"/>
  <c r="Y66" i="1"/>
  <c r="P67" i="1"/>
  <c r="T67" i="1" s="1"/>
  <c r="T66" i="1"/>
  <c r="W11" i="1"/>
  <c r="P71" i="1"/>
  <c r="T71" i="1" s="1"/>
  <c r="AB34" i="1"/>
  <c r="M67" i="1"/>
  <c r="Q66" i="1"/>
  <c r="M73" i="1"/>
  <c r="Z20" i="1"/>
  <c r="Z18" i="1"/>
  <c r="AB49" i="1" l="1"/>
  <c r="AC49" i="1" s="1"/>
  <c r="Z49" i="1"/>
  <c r="Y71" i="1"/>
  <c r="Y67" i="1"/>
  <c r="N67" i="1"/>
  <c r="P72" i="1"/>
  <c r="Q72" i="1" s="1"/>
  <c r="N73" i="1"/>
  <c r="Q67" i="1"/>
  <c r="V67" i="1"/>
  <c r="V73" i="1"/>
  <c r="V71" i="1"/>
  <c r="Z66" i="1"/>
  <c r="Z30" i="1"/>
  <c r="Q71" i="1"/>
  <c r="Z67" i="1" l="1"/>
  <c r="Z71" i="1"/>
  <c r="W71" i="1"/>
  <c r="W67" i="1"/>
  <c r="Y72" i="1"/>
  <c r="Z72" i="1" s="1"/>
  <c r="W73" i="1"/>
  <c r="P73" i="1"/>
  <c r="S72" i="1" l="1"/>
  <c r="T72" i="1" s="1"/>
  <c r="Q73" i="1"/>
  <c r="AB72" i="1"/>
  <c r="AC72" i="1" s="1"/>
  <c r="Y73" i="1"/>
  <c r="Z73" i="1" s="1"/>
  <c r="S73" i="1" l="1"/>
  <c r="W72" i="1" s="1"/>
  <c r="T73" i="1" l="1"/>
  <c r="AC47" i="1"/>
  <c r="AB30" i="1"/>
  <c r="AB56" i="1"/>
  <c r="AB55" i="1" l="1"/>
  <c r="AC55" i="1" s="1"/>
  <c r="AB56" i="3"/>
  <c r="AB55" i="3" s="1"/>
  <c r="AB66" i="1"/>
  <c r="AC30" i="1"/>
  <c r="AC55" i="3" l="1"/>
  <c r="AB66" i="3"/>
  <c r="AC66" i="1"/>
  <c r="AB71" i="1"/>
  <c r="AB73" i="1"/>
  <c r="AC73" i="1" s="1"/>
  <c r="AB67" i="1"/>
  <c r="AC67" i="1" s="1"/>
  <c r="AC66" i="3" l="1"/>
  <c r="AB71" i="3"/>
  <c r="AB73" i="3"/>
  <c r="AC73" i="3" s="1"/>
  <c r="AB67" i="3"/>
  <c r="AC67" i="3" s="1"/>
</calcChain>
</file>

<file path=xl/sharedStrings.xml><?xml version="1.0" encoding="utf-8"?>
<sst xmlns="http://schemas.openxmlformats.org/spreadsheetml/2006/main" count="337" uniqueCount="152">
  <si>
    <t>тыс руб</t>
  </si>
  <si>
    <t>N п.п.</t>
  </si>
  <si>
    <t>Наименование расхода</t>
  </si>
  <si>
    <t>Факт 2015 года (справочно)</t>
  </si>
  <si>
    <t>Утверждено на 2016</t>
  </si>
  <si>
    <t>Утверждено на 2017</t>
  </si>
  <si>
    <t>Предложение ГРЭС на 2017 -КОРРЕКТИРОВКА РАСХОДОВ</t>
  </si>
  <si>
    <t>Примечания ТСО</t>
  </si>
  <si>
    <t>Примечания РСТ</t>
  </si>
  <si>
    <t>факт в году  i0 по данным регулируемой организации</t>
  </si>
  <si>
    <t>прогноз по данным регулируемой организации</t>
  </si>
  <si>
    <t>факт в году  i0 + 1 по данным регулируемой организации</t>
  </si>
  <si>
    <t>факт в году  i1 по данным регулируемой организации</t>
  </si>
  <si>
    <t>прогноз РСТ на год i0</t>
  </si>
  <si>
    <t>прогноз РСТ на год i0+1</t>
  </si>
  <si>
    <t>прогноз РСТ на год i1</t>
  </si>
  <si>
    <t>3</t>
  </si>
  <si>
    <t>5</t>
  </si>
  <si>
    <t>7</t>
  </si>
  <si>
    <t>9</t>
  </si>
  <si>
    <t>11</t>
  </si>
  <si>
    <t>13</t>
  </si>
  <si>
    <t>15</t>
  </si>
  <si>
    <t>-</t>
  </si>
  <si>
    <t>1</t>
  </si>
  <si>
    <t>Операционные (подконтрольные) расходы</t>
  </si>
  <si>
    <t>1.1</t>
  </si>
  <si>
    <t>Расходы на приобретение сырья и материалов</t>
  </si>
  <si>
    <t>1.2</t>
  </si>
  <si>
    <t>Расходы на ремонт основных средств</t>
  </si>
  <si>
    <t>1.3</t>
  </si>
  <si>
    <t>Расходы на оплату труда</t>
  </si>
  <si>
    <t>1.4</t>
  </si>
  <si>
    <t>Расходы на оплату работ и услуг производственного характера, выполняемых по договорам со сторонними организациями</t>
  </si>
  <si>
    <t>1.5</t>
  </si>
  <si>
    <t>Расходы на оплату иных работ и услуг, выполняемых по договорам с организациями, включая:</t>
  </si>
  <si>
    <t>1.5.1</t>
  </si>
  <si>
    <t>Расходы на оплату услуг связи</t>
  </si>
  <si>
    <t>1.5.2</t>
  </si>
  <si>
    <t>Расходы на оплату вневедомственной охраны</t>
  </si>
  <si>
    <t>1.5.3</t>
  </si>
  <si>
    <t>Расходы на оплату коммунальных услуг</t>
  </si>
  <si>
    <t>1.5.4</t>
  </si>
  <si>
    <t>Расходы на оплату юридических, информационных, аудиторских и консультационных услуг</t>
  </si>
  <si>
    <t>1.5.5</t>
  </si>
  <si>
    <t>Расходы на оплату услуг по стратегическому управлению организацией</t>
  </si>
  <si>
    <t>1.5.6</t>
  </si>
  <si>
    <t>Расходы на оплату других работ и услуг</t>
  </si>
  <si>
    <t>1.6</t>
  </si>
  <si>
    <t>Расходы на служебные командировки</t>
  </si>
  <si>
    <t>1.7</t>
  </si>
  <si>
    <t>Расходы на обучение персонала</t>
  </si>
  <si>
    <t>1.8</t>
  </si>
  <si>
    <t>Лизинговый платеж</t>
  </si>
  <si>
    <t>1.9</t>
  </si>
  <si>
    <t>Арендная плата</t>
  </si>
  <si>
    <t>1.10</t>
  </si>
  <si>
    <t>Другие расходы</t>
  </si>
  <si>
    <t>1.10.0</t>
  </si>
  <si>
    <t>Итого базовый уровень операционных (подконтрольных) расходов</t>
  </si>
  <si>
    <t>х</t>
  </si>
  <si>
    <t>2</t>
  </si>
  <si>
    <t>Неподконтрольные расходы</t>
  </si>
  <si>
    <t>2.1</t>
  </si>
  <si>
    <t>Расходы на оплату услуг, оказываемых организациями, осуществляющими регулируемые виды деятельности</t>
  </si>
  <si>
    <t>2.2</t>
  </si>
  <si>
    <t>2.3</t>
  </si>
  <si>
    <t>Концессионная плата</t>
  </si>
  <si>
    <t>2.4</t>
  </si>
  <si>
    <t>Расходы на уплату налогов, сборов и других обязательных платежей, в том числе:</t>
  </si>
  <si>
    <t>2.4.1</t>
  </si>
  <si>
    <t>плата за выбросы и сбросы загрязняющих веществ в окружающую среду, размещение отходов и другие виды негативного воздействия на окружающую среду в пределах установленных нормативов и (или) лимитов</t>
  </si>
  <si>
    <t>2.4.2</t>
  </si>
  <si>
    <t>расходы на обязательное страхование</t>
  </si>
  <si>
    <t>2.4.3</t>
  </si>
  <si>
    <t>иные расходы:</t>
  </si>
  <si>
    <t xml:space="preserve">  - плата за воду</t>
  </si>
  <si>
    <t xml:space="preserve"> -  налог на имущество</t>
  </si>
  <si>
    <t xml:space="preserve"> -  транспортный налог</t>
  </si>
  <si>
    <t xml:space="preserve">  -  налог на землю</t>
  </si>
  <si>
    <t>2.5</t>
  </si>
  <si>
    <t>Отчисления на социальные нужды</t>
  </si>
  <si>
    <t>2.6</t>
  </si>
  <si>
    <t>Расходы по сомнительным долгам</t>
  </si>
  <si>
    <t>2.7</t>
  </si>
  <si>
    <t>Амортизация основных средств и нематериальных активов</t>
  </si>
  <si>
    <t>2.8</t>
  </si>
  <si>
    <t>Расходы на выплаты по договорам займа и кредитным договорам, включая проценты по ним</t>
  </si>
  <si>
    <t>2.9</t>
  </si>
  <si>
    <t>ИТОГО</t>
  </si>
  <si>
    <t>2.10</t>
  </si>
  <si>
    <t>Налог на прибыль</t>
  </si>
  <si>
    <t>2.11</t>
  </si>
  <si>
    <t>Экономия, определенная в прошедшем долгосрочном периоде регулирования и подлежащая учету в текущем долгосрочном периоде регулирования</t>
  </si>
  <si>
    <t>Расходы на приобретение (производство) энергетических ресурсов, холодной воды и теплоносителя</t>
  </si>
  <si>
    <t>3.1</t>
  </si>
  <si>
    <t>Расходы на топливо</t>
  </si>
  <si>
    <t>3.2</t>
  </si>
  <si>
    <t>Расходы на электрическую энергию</t>
  </si>
  <si>
    <t>3.3</t>
  </si>
  <si>
    <t>Расходы на тепловую энергию</t>
  </si>
  <si>
    <t>3.4</t>
  </si>
  <si>
    <t>Расходы на холодную воду</t>
  </si>
  <si>
    <t>3.5</t>
  </si>
  <si>
    <t>Расходы на теплоноситель</t>
  </si>
  <si>
    <t>4</t>
  </si>
  <si>
    <t>Прибыль</t>
  </si>
  <si>
    <t>4.0</t>
  </si>
  <si>
    <t>Добавить</t>
  </si>
  <si>
    <t>Результаты деятельности до перехода к регулированию цен (тарифов) на основе долгосрочных параметров регулирования</t>
  </si>
  <si>
    <t>5.1</t>
  </si>
  <si>
    <t xml:space="preserve">экономически обоснованные расходы, понесенные в периоды регулирования, предшествовавшие переходу к регулированию цен (тарифов) на основе долгосрочных параметров регулирования </t>
  </si>
  <si>
    <t>5.2</t>
  </si>
  <si>
    <t xml:space="preserve">доходы регулируемой организации, необоснованно полученные в периоды регулирования, предшествовавшие переходу к регулированию цен (тарифов) на основе долгосрочных параметров регулирования </t>
  </si>
  <si>
    <t>5.3</t>
  </si>
  <si>
    <t>экономия от снижения потребления энергетических ресурсов, холодной воды и теплоносителя, достигнутая до перехода к регулированию цен (тарифов) на основе долгосрочных параметров регулирования</t>
  </si>
  <si>
    <t>6</t>
  </si>
  <si>
    <t>Корректировка с целью учета отклонения фактических значений параметров расчета тарифов от значений, учтенных при установлении тарифов</t>
  </si>
  <si>
    <t>Корректировка с учетом надежности и качества реализуемых товаров (оказываемых услуг), подлежащая учету в НВВ</t>
  </si>
  <si>
    <t>8</t>
  </si>
  <si>
    <t>Корректировка НВВ в связи с изменением (неисполнением) инвестиционной программы</t>
  </si>
  <si>
    <t>Корректировка, подлежащая учету в НВВ и учитывающая отклонение фактических показателей энергосбережения и повышения энергетической эффективности от установленных плановых (расчетных) показателей и отклонение сроков реализации программы в области энергосбережения и повышения энергетической эффективности от установленных сроков реализации такой программы</t>
  </si>
  <si>
    <t>10</t>
  </si>
  <si>
    <t>Товарная выручка</t>
  </si>
  <si>
    <t>12</t>
  </si>
  <si>
    <t>Объем полезного отпуска</t>
  </si>
  <si>
    <t>12.1</t>
  </si>
  <si>
    <t>С 01.01 по 30.06</t>
  </si>
  <si>
    <t>12.2</t>
  </si>
  <si>
    <t>С 01.07 по 31.12</t>
  </si>
  <si>
    <t>Тариф</t>
  </si>
  <si>
    <t>13.1</t>
  </si>
  <si>
    <t>13.2</t>
  </si>
  <si>
    <t>Начальник  ПЭО</t>
  </si>
  <si>
    <t>Л.И. Кононова</t>
  </si>
  <si>
    <t>Факт за 2015 год (справочно)</t>
  </si>
  <si>
    <t>Утверждено на 2016 год</t>
  </si>
  <si>
    <t>Утверждено на 2017 год</t>
  </si>
  <si>
    <t>Предложение НчГРЭС по корректировке на 2017 год</t>
  </si>
  <si>
    <t>иные расходы</t>
  </si>
  <si>
    <t xml:space="preserve"> -плата за воду</t>
  </si>
  <si>
    <t xml:space="preserve"> -налог на имущество</t>
  </si>
  <si>
    <t xml:space="preserve"> - транспортный налог</t>
  </si>
  <si>
    <t xml:space="preserve"> - налог на землю</t>
  </si>
  <si>
    <t>Предложение по корректировке  необходимой валовой выручки  установленных тарифов для конечных потребителей на 2017 год</t>
  </si>
  <si>
    <t>Предложения по корректировке  необходимой валовой выручки  установленных тарифов на производство т/энергии в режиме комбинированнолй выработки  на 2017 год</t>
  </si>
  <si>
    <t xml:space="preserve">Корректировка, подлежащая учету в НВВ и учитывающая отклонение фактических показателей энергосбережения и повышения энергетической эффективности от установленных плановых (расчетных) показателей </t>
  </si>
  <si>
    <t>4.1</t>
  </si>
  <si>
    <t xml:space="preserve"> в т.ч расчетная предпринимательская прибыль</t>
  </si>
  <si>
    <t>Изм. К 2016 году, %</t>
  </si>
  <si>
    <t>Изм к 2016г, %</t>
  </si>
  <si>
    <t>в т.ч. Предпринимательская прибыль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</si>
</sst>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1">
    <numFmt numFmtId="7" formatCode="#,##0.00&quot;р.&quot;;\-#,##0.00&quot;р.&quot;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"/>
    <numFmt numFmtId="165" formatCode="_-* #,##0.00[$€-1]_-;\-* #,##0.00[$€-1]_-;_-* &quot;-&quot;??[$€-1]_-"/>
    <numFmt numFmtId="166" formatCode="0.0%"/>
    <numFmt numFmtId="167" formatCode="0.0%_);\(0.0%\)"/>
    <numFmt numFmtId="168" formatCode="#,##0_);[Red]\(#,##0\)"/>
    <numFmt numFmtId="169" formatCode="#,##0;\(#,##0\)"/>
    <numFmt numFmtId="170" formatCode="_-* #,##0.00\ _$_-;\-* #,##0.00\ _$_-;_-* &quot;-&quot;??\ _$_-;_-@_-"/>
    <numFmt numFmtId="171" formatCode="#.##0\.00"/>
    <numFmt numFmtId="172" formatCode="#\.00"/>
    <numFmt numFmtId="173" formatCode="\$#\.00"/>
    <numFmt numFmtId="174" formatCode="#\."/>
    <numFmt numFmtId="175" formatCode="General_)"/>
    <numFmt numFmtId="176" formatCode="_-* #,##0&quot;đ.&quot;_-;\-* #,##0&quot;đ.&quot;_-;_-* &quot;-&quot;&quot;đ.&quot;_-;_-@_-"/>
    <numFmt numFmtId="177" formatCode="_-* #,##0.00&quot;đ.&quot;_-;\-* #,##0.00&quot;đ.&quot;_-;_-* &quot;-&quot;??&quot;đ.&quot;_-;_-@_-"/>
    <numFmt numFmtId="178" formatCode="&quot;$&quot;#,##0_);[Red]\(&quot;$&quot;#,##0\)"/>
    <numFmt numFmtId="179" formatCode="\$#,##0\ ;\(\$#,##0\)"/>
    <numFmt numFmtId="180" formatCode="#,##0.000[$р.-419];\-#,##0.000[$р.-419]"/>
    <numFmt numFmtId="181" formatCode="_-* #,##0.0\ _$_-;\-* #,##0.0\ _$_-;_-* &quot;-&quot;??\ _$_-;_-@_-"/>
    <numFmt numFmtId="182" formatCode="0.0"/>
    <numFmt numFmtId="183" formatCode="#,##0.0_);\(#,##0.0\)"/>
    <numFmt numFmtId="184" formatCode="#,##0_ ;[Red]\-#,##0\ "/>
    <numFmt numFmtId="185" formatCode="#,##0_);[Blue]\(#,##0\)"/>
    <numFmt numFmtId="186" formatCode="_-* #,##0_-;\-* #,##0_-;_-* &quot;-&quot;_-;_-@_-"/>
    <numFmt numFmtId="187" formatCode="_-* #,##0.00_-;\-* #,##0.00_-;_-* &quot;-&quot;??_-;_-@_-"/>
    <numFmt numFmtId="188" formatCode="#,##0__\ \ \ \ "/>
    <numFmt numFmtId="189" formatCode="_-&quot;£&quot;* #,##0_-;\-&quot;£&quot;* #,##0_-;_-&quot;£&quot;* &quot;-&quot;_-;_-@_-"/>
    <numFmt numFmtId="190" formatCode="_-&quot;£&quot;* #,##0.00_-;\-&quot;£&quot;* #,##0.00_-;_-&quot;£&quot;* &quot;-&quot;??_-;_-@_-"/>
    <numFmt numFmtId="191" formatCode="#,##0.00&quot;т.р.&quot;;\-#,##0.00&quot;т.р.&quot;"/>
    <numFmt numFmtId="192" formatCode="#,##0.0;[Red]#,##0.0"/>
    <numFmt numFmtId="193" formatCode="_-* #,##0_đ_._-;\-* #,##0_đ_._-;_-* &quot;-&quot;_đ_._-;_-@_-"/>
    <numFmt numFmtId="194" formatCode="_-* #,##0.00_đ_._-;\-* #,##0.00_đ_._-;_-* &quot;-&quot;??_đ_._-;_-@_-"/>
    <numFmt numFmtId="195" formatCode="\(#,##0.0\)"/>
    <numFmt numFmtId="196" formatCode="#,##0\ &quot;?.&quot;;\-#,##0\ &quot;?.&quot;"/>
    <numFmt numFmtId="197" formatCode="#,##0______;;&quot;------------      &quot;"/>
    <numFmt numFmtId="198" formatCode="#,##0.000_ ;\-#,##0.000\ "/>
    <numFmt numFmtId="199" formatCode="#,##0.00_ ;[Red]\-#,##0.00\ "/>
    <numFmt numFmtId="200" formatCode="#,##0.000"/>
  </numFmts>
  <fonts count="136">
    <font>
      <sz val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8"/>
      <name val="Tahoma"/>
      <family val="2"/>
      <charset val="204"/>
    </font>
    <font>
      <sz val="10"/>
      <name val="Tahoma "/>
      <charset val="204"/>
    </font>
    <font>
      <b/>
      <sz val="10"/>
      <color indexed="22"/>
      <name val="Tahoma"/>
      <family val="2"/>
      <charset val="204"/>
    </font>
    <font>
      <b/>
      <sz val="20"/>
      <color indexed="22"/>
      <name val="Tahoma"/>
      <family val="2"/>
      <charset val="204"/>
    </font>
    <font>
      <sz val="9"/>
      <name val="Tahoma"/>
      <family val="2"/>
      <charset val="204"/>
    </font>
    <font>
      <sz val="10"/>
      <color indexed="18"/>
      <name val="Tahoma"/>
      <family val="2"/>
      <charset val="204"/>
    </font>
    <font>
      <b/>
      <sz val="10"/>
      <name val="Tahoma"/>
      <family val="2"/>
      <charset val="204"/>
    </font>
    <font>
      <sz val="10"/>
      <color indexed="9"/>
      <name val="Tahoma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8"/>
      <name val="Palatino"/>
      <family val="1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charset val="204"/>
    </font>
    <font>
      <u/>
      <sz val="10"/>
      <color indexed="12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sz val="11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theme="10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0"/>
      <color theme="10"/>
      <name val="Arial Cyr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theme="1"/>
      <name val="Arial Cyr"/>
      <family val="2"/>
      <charset val="204"/>
    </font>
    <font>
      <sz val="10"/>
      <name val="Times New Roman CYR"/>
      <charset val="204"/>
    </font>
    <font>
      <sz val="11"/>
      <color theme="1"/>
      <name val="Calibri"/>
      <family val="2"/>
      <scheme val="minor"/>
    </font>
    <font>
      <sz val="9"/>
      <color indexed="11"/>
      <name val="Tahoma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</fonts>
  <fills count="5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lightDown">
        <fgColor indexed="55"/>
      </patternFill>
    </fill>
    <fill>
      <patternFill patternType="lightDown">
        <fgColor indexed="55"/>
        <bgColor theme="0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024">
    <xf numFmtId="49" fontId="0" fillId="0" borderId="0" applyBorder="0">
      <alignment vertical="top"/>
    </xf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3" fillId="0" borderId="0"/>
    <xf numFmtId="165" fontId="13" fillId="0" borderId="0"/>
    <xf numFmtId="0" fontId="14" fillId="0" borderId="0"/>
    <xf numFmtId="0" fontId="15" fillId="0" borderId="0"/>
    <xf numFmtId="166" fontId="16" fillId="0" borderId="0">
      <alignment vertical="top"/>
    </xf>
    <xf numFmtId="166" fontId="17" fillId="0" borderId="0">
      <alignment vertical="top"/>
    </xf>
    <xf numFmtId="167" fontId="17" fillId="9" borderId="0">
      <alignment vertical="top"/>
    </xf>
    <xf numFmtId="166" fontId="17" fillId="3" borderId="0">
      <alignment vertical="top"/>
    </xf>
    <xf numFmtId="40" fontId="18" fillId="0" borderId="0" applyFont="0" applyFill="0" applyBorder="0" applyAlignment="0" applyProtection="0"/>
    <xf numFmtId="0" fontId="19" fillId="0" borderId="0"/>
    <xf numFmtId="0" fontId="14" fillId="0" borderId="0"/>
    <xf numFmtId="16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16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169" fontId="15" fillId="4" borderId="12">
      <alignment wrapText="1"/>
      <protection locked="0"/>
    </xf>
    <xf numFmtId="169" fontId="15" fillId="4" borderId="12">
      <alignment wrapText="1"/>
      <protection locked="0"/>
    </xf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3" fillId="0" borderId="0"/>
    <xf numFmtId="0" fontId="13" fillId="0" borderId="0"/>
    <xf numFmtId="16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0" fontId="13" fillId="0" borderId="0"/>
    <xf numFmtId="0" fontId="13" fillId="0" borderId="0"/>
    <xf numFmtId="0" fontId="14" fillId="0" borderId="0"/>
    <xf numFmtId="0" fontId="14" fillId="0" borderId="0"/>
    <xf numFmtId="16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0" fontId="14" fillId="0" borderId="0"/>
    <xf numFmtId="0" fontId="14" fillId="0" borderId="0"/>
    <xf numFmtId="0" fontId="14" fillId="0" borderId="0"/>
    <xf numFmtId="0" fontId="14" fillId="0" borderId="0"/>
    <xf numFmtId="16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16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0" fontId="14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2" fillId="0" borderId="0"/>
    <xf numFmtId="0" fontId="14" fillId="0" borderId="0"/>
    <xf numFmtId="170" fontId="2" fillId="0" borderId="0" applyFont="0" applyFill="0" applyBorder="0" applyAlignment="0" applyProtection="0"/>
    <xf numFmtId="171" fontId="21" fillId="0" borderId="0">
      <protection locked="0"/>
    </xf>
    <xf numFmtId="172" fontId="21" fillId="0" borderId="0">
      <protection locked="0"/>
    </xf>
    <xf numFmtId="171" fontId="21" fillId="0" borderId="0">
      <protection locked="0"/>
    </xf>
    <xf numFmtId="172" fontId="21" fillId="0" borderId="0">
      <protection locked="0"/>
    </xf>
    <xf numFmtId="173" fontId="21" fillId="0" borderId="0">
      <protection locked="0"/>
    </xf>
    <xf numFmtId="174" fontId="21" fillId="0" borderId="13">
      <protection locked="0"/>
    </xf>
    <xf numFmtId="174" fontId="22" fillId="0" borderId="0">
      <protection locked="0"/>
    </xf>
    <xf numFmtId="174" fontId="22" fillId="0" borderId="0">
      <protection locked="0"/>
    </xf>
    <xf numFmtId="174" fontId="21" fillId="0" borderId="13">
      <protection locked="0"/>
    </xf>
    <xf numFmtId="0" fontId="23" fillId="11" borderId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9" borderId="0" applyNumberFormat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>
      <protection locked="0"/>
    </xf>
    <xf numFmtId="0" fontId="20" fillId="0" borderId="0"/>
    <xf numFmtId="175" fontId="27" fillId="0" borderId="14">
      <protection locked="0"/>
    </xf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28" fillId="13" borderId="0" applyNumberFormat="0" applyBorder="0" applyAlignment="0" applyProtection="0"/>
    <xf numFmtId="0" fontId="2" fillId="18" borderId="0" applyNumberFormat="0" applyBorder="0" applyAlignment="0">
      <protection locked="0"/>
    </xf>
    <xf numFmtId="10" fontId="29" fillId="0" borderId="0" applyNumberFormat="0" applyFill="0" applyBorder="0" applyAlignment="0"/>
    <xf numFmtId="0" fontId="30" fillId="0" borderId="0"/>
    <xf numFmtId="0" fontId="31" fillId="30" borderId="15" applyNumberFormat="0" applyAlignment="0" applyProtection="0"/>
    <xf numFmtId="0" fontId="3" fillId="0" borderId="15" applyNumberFormat="0" applyAlignment="0">
      <protection locked="0"/>
    </xf>
    <xf numFmtId="0" fontId="32" fillId="31" borderId="16" applyNumberFormat="0" applyAlignment="0" applyProtection="0"/>
    <xf numFmtId="0" fontId="33" fillId="0" borderId="9">
      <alignment horizontal="left" vertical="center"/>
    </xf>
    <xf numFmtId="41" fontId="15" fillId="0" borderId="0" applyFont="0" applyFill="0" applyBorder="0" applyAlignment="0" applyProtection="0"/>
    <xf numFmtId="0" fontId="34" fillId="0" borderId="0" applyFont="0" applyFill="0" applyBorder="0" applyAlignment="0" applyProtection="0">
      <alignment horizontal="right"/>
    </xf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>
      <alignment horizontal="right"/>
    </xf>
    <xf numFmtId="0" fontId="34" fillId="0" borderId="0" applyFont="0" applyFill="0" applyBorder="0" applyAlignment="0" applyProtection="0"/>
    <xf numFmtId="43" fontId="15" fillId="0" borderId="0" applyFont="0" applyFill="0" applyBorder="0" applyAlignment="0" applyProtection="0"/>
    <xf numFmtId="3" fontId="35" fillId="0" borderId="0" applyFont="0" applyFill="0" applyBorder="0" applyAlignment="0" applyProtection="0"/>
    <xf numFmtId="175" fontId="36" fillId="32" borderId="14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34" fillId="0" borderId="0" applyFont="0" applyFill="0" applyBorder="0" applyAlignment="0" applyProtection="0">
      <alignment horizontal="right"/>
    </xf>
    <xf numFmtId="0" fontId="34" fillId="0" borderId="0" applyFont="0" applyFill="0" applyBorder="0" applyAlignment="0" applyProtection="0">
      <alignment horizontal="right"/>
    </xf>
    <xf numFmtId="44" fontId="2" fillId="0" borderId="0" applyFont="0" applyFill="0" applyBorder="0" applyAlignment="0" applyProtection="0"/>
    <xf numFmtId="179" fontId="35" fillId="0" borderId="0" applyFont="0" applyFill="0" applyBorder="0" applyAlignment="0" applyProtection="0"/>
    <xf numFmtId="0" fontId="34" fillId="0" borderId="0" applyFill="0" applyBorder="0" applyProtection="0">
      <alignment vertical="center"/>
    </xf>
    <xf numFmtId="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4" fontId="37" fillId="0" borderId="0">
      <alignment vertical="top"/>
    </xf>
    <xf numFmtId="18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34" fillId="0" borderId="17" applyNumberFormat="0" applyFont="0" applyFill="0" applyAlignment="0" applyProtection="0"/>
    <xf numFmtId="0" fontId="38" fillId="0" borderId="0" applyNumberFormat="0" applyFill="0" applyBorder="0" applyAlignment="0" applyProtection="0"/>
    <xf numFmtId="16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165" fontId="37" fillId="0" borderId="0" applyFont="0" applyFill="0" applyBorder="0" applyAlignment="0" applyProtection="0"/>
    <xf numFmtId="37" fontId="15" fillId="0" borderId="0"/>
    <xf numFmtId="0" fontId="40" fillId="0" borderId="0" applyNumberFormat="0" applyFill="0" applyBorder="0" applyAlignment="0" applyProtection="0"/>
    <xf numFmtId="182" fontId="41" fillId="0" borderId="0" applyFill="0" applyBorder="0" applyAlignment="0" applyProtection="0"/>
    <xf numFmtId="182" fontId="16" fillId="0" borderId="0" applyFill="0" applyBorder="0" applyAlignment="0" applyProtection="0"/>
    <xf numFmtId="182" fontId="42" fillId="0" borderId="0" applyFill="0" applyBorder="0" applyAlignment="0" applyProtection="0"/>
    <xf numFmtId="182" fontId="43" fillId="0" borderId="0" applyFill="0" applyBorder="0" applyAlignment="0" applyProtection="0"/>
    <xf numFmtId="182" fontId="44" fillId="0" borderId="0" applyFill="0" applyBorder="0" applyAlignment="0" applyProtection="0"/>
    <xf numFmtId="182" fontId="45" fillId="0" borderId="0" applyFill="0" applyBorder="0" applyAlignment="0" applyProtection="0"/>
    <xf numFmtId="182" fontId="46" fillId="0" borderId="0" applyFill="0" applyBorder="0" applyAlignment="0" applyProtection="0"/>
    <xf numFmtId="2" fontId="35" fillId="0" borderId="0" applyFont="0" applyFill="0" applyBorder="0" applyAlignment="0" applyProtection="0"/>
    <xf numFmtId="0" fontId="47" fillId="0" borderId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 applyFill="0" applyBorder="0" applyProtection="0">
      <alignment horizontal="left"/>
    </xf>
    <xf numFmtId="0" fontId="50" fillId="14" borderId="0" applyNumberFormat="0" applyBorder="0" applyAlignment="0" applyProtection="0"/>
    <xf numFmtId="166" fontId="51" fillId="3" borderId="9" applyNumberFormat="0" applyFont="0" applyBorder="0" applyAlignment="0" applyProtection="0"/>
    <xf numFmtId="0" fontId="34" fillId="0" borderId="0" applyFont="0" applyFill="0" applyBorder="0" applyAlignment="0" applyProtection="0">
      <alignment horizontal="right"/>
    </xf>
    <xf numFmtId="183" fontId="52" fillId="3" borderId="0" applyNumberFormat="0" applyFont="0" applyAlignment="0"/>
    <xf numFmtId="0" fontId="53" fillId="0" borderId="0" applyProtection="0">
      <alignment horizontal="right"/>
    </xf>
    <xf numFmtId="0" fontId="3" fillId="30" borderId="15" applyNumberFormat="0" applyAlignment="0"/>
    <xf numFmtId="0" fontId="54" fillId="0" borderId="0">
      <alignment vertical="top"/>
    </xf>
    <xf numFmtId="0" fontId="55" fillId="0" borderId="18" applyNumberFormat="0" applyFill="0" applyAlignment="0" applyProtection="0"/>
    <xf numFmtId="0" fontId="56" fillId="0" borderId="19" applyNumberFormat="0" applyFill="0" applyAlignment="0" applyProtection="0"/>
    <xf numFmtId="0" fontId="57" fillId="0" borderId="20" applyNumberFormat="0" applyFill="0" applyAlignment="0" applyProtection="0"/>
    <xf numFmtId="0" fontId="57" fillId="0" borderId="0" applyNumberFormat="0" applyFill="0" applyBorder="0" applyAlignment="0" applyProtection="0"/>
    <xf numFmtId="2" fontId="58" fillId="33" borderId="0" applyAlignment="0">
      <alignment horizontal="right"/>
      <protection locked="0"/>
    </xf>
    <xf numFmtId="168" fontId="59" fillId="0" borderId="0">
      <alignment vertical="top"/>
    </xf>
    <xf numFmtId="38" fontId="59" fillId="0" borderId="0">
      <alignment vertical="top"/>
    </xf>
    <xf numFmtId="38" fontId="59" fillId="0" borderId="0">
      <alignment vertical="top"/>
    </xf>
    <xf numFmtId="0" fontId="60" fillId="0" borderId="0" applyNumberFormat="0" applyFill="0" applyBorder="0" applyAlignment="0" applyProtection="0">
      <alignment vertical="top"/>
      <protection locked="0"/>
    </xf>
    <xf numFmtId="175" fontId="61" fillId="0" borderId="0"/>
    <xf numFmtId="0" fontId="15" fillId="0" borderId="0"/>
    <xf numFmtId="0" fontId="62" fillId="0" borderId="0" applyNumberFormat="0" applyFill="0" applyBorder="0" applyAlignment="0" applyProtection="0">
      <alignment vertical="top"/>
      <protection locked="0"/>
    </xf>
    <xf numFmtId="184" fontId="63" fillId="0" borderId="9">
      <alignment horizontal="center" vertical="center" wrapText="1"/>
    </xf>
    <xf numFmtId="0" fontId="64" fillId="17" borderId="15" applyNumberFormat="0" applyAlignment="0" applyProtection="0"/>
    <xf numFmtId="0" fontId="65" fillId="0" borderId="0" applyFill="0" applyBorder="0" applyProtection="0">
      <alignment vertical="center"/>
    </xf>
    <xf numFmtId="0" fontId="65" fillId="0" borderId="0" applyFill="0" applyBorder="0" applyProtection="0">
      <alignment vertical="center"/>
    </xf>
    <xf numFmtId="0" fontId="65" fillId="0" borderId="0" applyFill="0" applyBorder="0" applyProtection="0">
      <alignment vertical="center"/>
    </xf>
    <xf numFmtId="0" fontId="65" fillId="0" borderId="0" applyFill="0" applyBorder="0" applyProtection="0">
      <alignment vertical="center"/>
    </xf>
    <xf numFmtId="168" fontId="17" fillId="0" borderId="0">
      <alignment vertical="top"/>
    </xf>
    <xf numFmtId="168" fontId="17" fillId="9" borderId="0">
      <alignment vertical="top"/>
    </xf>
    <xf numFmtId="38" fontId="17" fillId="9" borderId="0">
      <alignment vertical="top"/>
    </xf>
    <xf numFmtId="38" fontId="17" fillId="9" borderId="0">
      <alignment vertical="top"/>
    </xf>
    <xf numFmtId="38" fontId="17" fillId="0" borderId="0">
      <alignment vertical="top"/>
    </xf>
    <xf numFmtId="185" fontId="17" fillId="3" borderId="0">
      <alignment vertical="top"/>
    </xf>
    <xf numFmtId="38" fontId="17" fillId="0" borderId="0">
      <alignment vertical="top"/>
    </xf>
    <xf numFmtId="0" fontId="66" fillId="0" borderId="21" applyNumberFormat="0" applyFill="0" applyAlignment="0" applyProtection="0"/>
    <xf numFmtId="186" fontId="67" fillId="0" borderId="0" applyFont="0" applyFill="0" applyBorder="0" applyAlignment="0" applyProtection="0"/>
    <xf numFmtId="187" fontId="67" fillId="0" borderId="0" applyFont="0" applyFill="0" applyBorder="0" applyAlignment="0" applyProtection="0"/>
    <xf numFmtId="186" fontId="67" fillId="0" borderId="0" applyFont="0" applyFill="0" applyBorder="0" applyAlignment="0" applyProtection="0"/>
    <xf numFmtId="187" fontId="67" fillId="0" borderId="0" applyFont="0" applyFill="0" applyBorder="0" applyAlignment="0" applyProtection="0"/>
    <xf numFmtId="188" fontId="68" fillId="0" borderId="9">
      <alignment horizontal="right"/>
      <protection locked="0"/>
    </xf>
    <xf numFmtId="189" fontId="67" fillId="0" borderId="0" applyFont="0" applyFill="0" applyBorder="0" applyAlignment="0" applyProtection="0"/>
    <xf numFmtId="190" fontId="67" fillId="0" borderId="0" applyFont="0" applyFill="0" applyBorder="0" applyAlignment="0" applyProtection="0"/>
    <xf numFmtId="189" fontId="67" fillId="0" borderId="0" applyFont="0" applyFill="0" applyBorder="0" applyAlignment="0" applyProtection="0"/>
    <xf numFmtId="190" fontId="67" fillId="0" borderId="0" applyFont="0" applyFill="0" applyBorder="0" applyAlignment="0" applyProtection="0"/>
    <xf numFmtId="0" fontId="34" fillId="0" borderId="0" applyFont="0" applyFill="0" applyBorder="0" applyAlignment="0" applyProtection="0">
      <alignment horizontal="right"/>
    </xf>
    <xf numFmtId="0" fontId="34" fillId="0" borderId="0" applyFill="0" applyBorder="0" applyProtection="0">
      <alignment vertical="center"/>
    </xf>
    <xf numFmtId="0" fontId="34" fillId="0" borderId="0" applyFont="0" applyFill="0" applyBorder="0" applyAlignment="0" applyProtection="0">
      <alignment horizontal="right"/>
    </xf>
    <xf numFmtId="3" fontId="2" fillId="0" borderId="22" applyFont="0" applyBorder="0">
      <alignment horizontal="center" vertical="center"/>
    </xf>
    <xf numFmtId="0" fontId="69" fillId="34" borderId="0" applyNumberFormat="0" applyBorder="0" applyAlignment="0" applyProtection="0"/>
    <xf numFmtId="0" fontId="23" fillId="0" borderId="23"/>
    <xf numFmtId="0" fontId="70" fillId="0" borderId="0" applyNumberFormat="0" applyFill="0" applyBorder="0" applyAlignment="0" applyProtection="0"/>
    <xf numFmtId="191" fontId="2" fillId="0" borderId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0">
      <alignment horizontal="right"/>
    </xf>
    <xf numFmtId="0" fontId="2" fillId="0" borderId="0"/>
    <xf numFmtId="0" fontId="72" fillId="0" borderId="0"/>
    <xf numFmtId="0" fontId="34" fillId="0" borderId="0" applyFill="0" applyBorder="0" applyProtection="0">
      <alignment vertical="center"/>
    </xf>
    <xf numFmtId="0" fontId="73" fillId="0" borderId="0"/>
    <xf numFmtId="0" fontId="15" fillId="0" borderId="0"/>
    <xf numFmtId="0" fontId="13" fillId="0" borderId="0"/>
    <xf numFmtId="0" fontId="9" fillId="35" borderId="11" applyNumberFormat="0" applyFont="0" applyAlignment="0" applyProtection="0"/>
    <xf numFmtId="192" fontId="2" fillId="0" borderId="0" applyFont="0" applyAlignment="0">
      <alignment horizontal="center"/>
    </xf>
    <xf numFmtId="193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0" fontId="51" fillId="0" borderId="0"/>
    <xf numFmtId="195" fontId="51" fillId="0" borderId="0" applyFont="0" applyFill="0" applyBorder="0" applyAlignment="0" applyProtection="0"/>
    <xf numFmtId="196" fontId="51" fillId="0" borderId="0" applyFont="0" applyFill="0" applyBorder="0" applyAlignment="0" applyProtection="0"/>
    <xf numFmtId="0" fontId="74" fillId="30" borderId="2" applyNumberFormat="0" applyAlignment="0" applyProtection="0"/>
    <xf numFmtId="1" fontId="75" fillId="0" borderId="0" applyProtection="0">
      <alignment horizontal="right" vertical="center"/>
    </xf>
    <xf numFmtId="49" fontId="76" fillId="0" borderId="24" applyFill="0" applyProtection="0">
      <alignment vertical="center"/>
    </xf>
    <xf numFmtId="9" fontId="15" fillId="0" borderId="0" applyFont="0" applyFill="0" applyBorder="0" applyAlignment="0" applyProtection="0"/>
    <xf numFmtId="0" fontId="34" fillId="0" borderId="0" applyFill="0" applyBorder="0" applyProtection="0">
      <alignment vertical="center"/>
    </xf>
    <xf numFmtId="37" fontId="77" fillId="4" borderId="25"/>
    <xf numFmtId="37" fontId="77" fillId="4" borderId="25"/>
    <xf numFmtId="0" fontId="78" fillId="0" borderId="0" applyNumberFormat="0">
      <alignment horizontal="left"/>
    </xf>
    <xf numFmtId="197" fontId="79" fillId="0" borderId="26" applyBorder="0">
      <alignment horizontal="right"/>
      <protection locked="0"/>
    </xf>
    <xf numFmtId="49" fontId="80" fillId="0" borderId="9" applyNumberFormat="0">
      <alignment horizontal="left" vertical="center"/>
    </xf>
    <xf numFmtId="0" fontId="81" fillId="0" borderId="27">
      <alignment vertical="center"/>
    </xf>
    <xf numFmtId="4" fontId="82" fillId="4" borderId="2" applyNumberFormat="0" applyProtection="0">
      <alignment vertical="center"/>
    </xf>
    <xf numFmtId="4" fontId="83" fillId="4" borderId="2" applyNumberFormat="0" applyProtection="0">
      <alignment vertical="center"/>
    </xf>
    <xf numFmtId="4" fontId="82" fillId="4" borderId="2" applyNumberFormat="0" applyProtection="0">
      <alignment horizontal="left" vertical="center" indent="1"/>
    </xf>
    <xf numFmtId="4" fontId="82" fillId="4" borderId="2" applyNumberFormat="0" applyProtection="0">
      <alignment horizontal="left" vertical="center" indent="1"/>
    </xf>
    <xf numFmtId="0" fontId="15" fillId="5" borderId="2" applyNumberFormat="0" applyProtection="0">
      <alignment horizontal="left" vertical="center" indent="1"/>
    </xf>
    <xf numFmtId="0" fontId="15" fillId="5" borderId="2" applyNumberFormat="0" applyProtection="0">
      <alignment horizontal="left" vertical="center" indent="1"/>
    </xf>
    <xf numFmtId="0" fontId="15" fillId="5" borderId="2" applyNumberFormat="0" applyProtection="0">
      <alignment horizontal="left" vertical="center" indent="1"/>
    </xf>
    <xf numFmtId="4" fontId="82" fillId="36" borderId="2" applyNumberFormat="0" applyProtection="0">
      <alignment horizontal="right" vertical="center"/>
    </xf>
    <xf numFmtId="4" fontId="82" fillId="37" borderId="2" applyNumberFormat="0" applyProtection="0">
      <alignment horizontal="right" vertical="center"/>
    </xf>
    <xf numFmtId="4" fontId="82" fillId="38" borderId="2" applyNumberFormat="0" applyProtection="0">
      <alignment horizontal="right" vertical="center"/>
    </xf>
    <xf numFmtId="4" fontId="82" fillId="39" borderId="2" applyNumberFormat="0" applyProtection="0">
      <alignment horizontal="right" vertical="center"/>
    </xf>
    <xf numFmtId="4" fontId="82" fillId="40" borderId="2" applyNumberFormat="0" applyProtection="0">
      <alignment horizontal="right" vertical="center"/>
    </xf>
    <xf numFmtId="4" fontId="82" fillId="41" borderId="2" applyNumberFormat="0" applyProtection="0">
      <alignment horizontal="right" vertical="center"/>
    </xf>
    <xf numFmtId="4" fontId="82" fillId="42" borderId="2" applyNumberFormat="0" applyProtection="0">
      <alignment horizontal="right" vertical="center"/>
    </xf>
    <xf numFmtId="4" fontId="82" fillId="43" borderId="2" applyNumberFormat="0" applyProtection="0">
      <alignment horizontal="right" vertical="center"/>
    </xf>
    <xf numFmtId="4" fontId="82" fillId="44" borderId="2" applyNumberFormat="0" applyProtection="0">
      <alignment horizontal="right" vertical="center"/>
    </xf>
    <xf numFmtId="4" fontId="84" fillId="45" borderId="2" applyNumberFormat="0" applyProtection="0">
      <alignment horizontal="left" vertical="center" indent="1"/>
    </xf>
    <xf numFmtId="4" fontId="82" fillId="46" borderId="28" applyNumberFormat="0" applyProtection="0">
      <alignment horizontal="left" vertical="center" indent="1"/>
    </xf>
    <xf numFmtId="4" fontId="85" fillId="47" borderId="0" applyNumberFormat="0" applyProtection="0">
      <alignment horizontal="left" vertical="center" indent="1"/>
    </xf>
    <xf numFmtId="0" fontId="15" fillId="5" borderId="2" applyNumberFormat="0" applyProtection="0">
      <alignment horizontal="left" vertical="center" indent="1"/>
    </xf>
    <xf numFmtId="0" fontId="15" fillId="5" borderId="2" applyNumberFormat="0" applyProtection="0">
      <alignment horizontal="left" vertical="center" indent="1"/>
    </xf>
    <xf numFmtId="0" fontId="15" fillId="5" borderId="2" applyNumberFormat="0" applyProtection="0">
      <alignment horizontal="left" vertical="center" indent="1"/>
    </xf>
    <xf numFmtId="4" fontId="86" fillId="46" borderId="2" applyNumberFormat="0" applyProtection="0">
      <alignment horizontal="left" vertical="center" indent="1"/>
    </xf>
    <xf numFmtId="4" fontId="86" fillId="48" borderId="2" applyNumberFormat="0" applyProtection="0">
      <alignment horizontal="left" vertical="center" indent="1"/>
    </xf>
    <xf numFmtId="0" fontId="15" fillId="48" borderId="2" applyNumberFormat="0" applyProtection="0">
      <alignment horizontal="left" vertical="center" indent="1"/>
    </xf>
    <xf numFmtId="0" fontId="15" fillId="48" borderId="2" applyNumberFormat="0" applyProtection="0">
      <alignment horizontal="left" vertical="center" indent="1"/>
    </xf>
    <xf numFmtId="0" fontId="15" fillId="48" borderId="2" applyNumberFormat="0" applyProtection="0">
      <alignment horizontal="left" vertical="center" indent="1"/>
    </xf>
    <xf numFmtId="0" fontId="15" fillId="48" borderId="2" applyNumberFormat="0" applyProtection="0">
      <alignment horizontal="left" vertical="center" indent="1"/>
    </xf>
    <xf numFmtId="0" fontId="15" fillId="48" borderId="2" applyNumberFormat="0" applyProtection="0">
      <alignment horizontal="left" vertical="center" indent="1"/>
    </xf>
    <xf numFmtId="0" fontId="15" fillId="48" borderId="2" applyNumberFormat="0" applyProtection="0">
      <alignment horizontal="left" vertical="center" indent="1"/>
    </xf>
    <xf numFmtId="0" fontId="15" fillId="49" borderId="2" applyNumberFormat="0" applyProtection="0">
      <alignment horizontal="left" vertical="center" indent="1"/>
    </xf>
    <xf numFmtId="0" fontId="15" fillId="49" borderId="2" applyNumberFormat="0" applyProtection="0">
      <alignment horizontal="left" vertical="center" indent="1"/>
    </xf>
    <xf numFmtId="0" fontId="15" fillId="49" borderId="2" applyNumberFormat="0" applyProtection="0">
      <alignment horizontal="left" vertical="center" indent="1"/>
    </xf>
    <xf numFmtId="0" fontId="15" fillId="49" borderId="2" applyNumberFormat="0" applyProtection="0">
      <alignment horizontal="left" vertical="center" indent="1"/>
    </xf>
    <xf numFmtId="0" fontId="15" fillId="49" borderId="2" applyNumberFormat="0" applyProtection="0">
      <alignment horizontal="left" vertical="center" indent="1"/>
    </xf>
    <xf numFmtId="0" fontId="15" fillId="49" borderId="2" applyNumberFormat="0" applyProtection="0">
      <alignment horizontal="left" vertical="center" indent="1"/>
    </xf>
    <xf numFmtId="0" fontId="15" fillId="9" borderId="2" applyNumberFormat="0" applyProtection="0">
      <alignment horizontal="left" vertical="center" indent="1"/>
    </xf>
    <xf numFmtId="0" fontId="15" fillId="9" borderId="2" applyNumberFormat="0" applyProtection="0">
      <alignment horizontal="left" vertical="center" indent="1"/>
    </xf>
    <xf numFmtId="0" fontId="15" fillId="9" borderId="2" applyNumberFormat="0" applyProtection="0">
      <alignment horizontal="left" vertical="center" indent="1"/>
    </xf>
    <xf numFmtId="0" fontId="15" fillId="9" borderId="2" applyNumberFormat="0" applyProtection="0">
      <alignment horizontal="left" vertical="center" indent="1"/>
    </xf>
    <xf numFmtId="0" fontId="15" fillId="9" borderId="2" applyNumberFormat="0" applyProtection="0">
      <alignment horizontal="left" vertical="center" indent="1"/>
    </xf>
    <xf numFmtId="0" fontId="15" fillId="9" borderId="2" applyNumberFormat="0" applyProtection="0">
      <alignment horizontal="left" vertical="center" indent="1"/>
    </xf>
    <xf numFmtId="0" fontId="15" fillId="5" borderId="2" applyNumberFormat="0" applyProtection="0">
      <alignment horizontal="left" vertical="center" indent="1"/>
    </xf>
    <xf numFmtId="0" fontId="15" fillId="5" borderId="2" applyNumberFormat="0" applyProtection="0">
      <alignment horizontal="left" vertical="center" indent="1"/>
    </xf>
    <xf numFmtId="0" fontId="15" fillId="5" borderId="2" applyNumberFormat="0" applyProtection="0">
      <alignment horizontal="left" vertical="center" indent="1"/>
    </xf>
    <xf numFmtId="0" fontId="15" fillId="5" borderId="2" applyNumberFormat="0" applyProtection="0">
      <alignment horizontal="left" vertical="center" indent="1"/>
    </xf>
    <xf numFmtId="0" fontId="15" fillId="5" borderId="2" applyNumberFormat="0" applyProtection="0">
      <alignment horizontal="left" vertical="center" indent="1"/>
    </xf>
    <xf numFmtId="0" fontId="15" fillId="5" borderId="2" applyNumberFormat="0" applyProtection="0">
      <alignment horizontal="left" vertical="center" indent="1"/>
    </xf>
    <xf numFmtId="0" fontId="2" fillId="0" borderId="0"/>
    <xf numFmtId="0" fontId="2" fillId="0" borderId="0"/>
    <xf numFmtId="0" fontId="2" fillId="0" borderId="0"/>
    <xf numFmtId="0" fontId="2" fillId="0" borderId="0"/>
    <xf numFmtId="4" fontId="82" fillId="50" borderId="2" applyNumberFormat="0" applyProtection="0">
      <alignment vertical="center"/>
    </xf>
    <xf numFmtId="4" fontId="83" fillId="50" borderId="2" applyNumberFormat="0" applyProtection="0">
      <alignment vertical="center"/>
    </xf>
    <xf numFmtId="4" fontId="82" fillId="50" borderId="2" applyNumberFormat="0" applyProtection="0">
      <alignment horizontal="left" vertical="center" indent="1"/>
    </xf>
    <xf numFmtId="4" fontId="82" fillId="50" borderId="2" applyNumberFormat="0" applyProtection="0">
      <alignment horizontal="left" vertical="center" indent="1"/>
    </xf>
    <xf numFmtId="4" fontId="82" fillId="46" borderId="2" applyNumberFormat="0" applyProtection="0">
      <alignment horizontal="right" vertical="center"/>
    </xf>
    <xf numFmtId="4" fontId="83" fillId="46" borderId="2" applyNumberFormat="0" applyProtection="0">
      <alignment horizontal="right" vertical="center"/>
    </xf>
    <xf numFmtId="0" fontId="15" fillId="5" borderId="2" applyNumberFormat="0" applyProtection="0">
      <alignment horizontal="left" vertical="center" indent="1"/>
    </xf>
    <xf numFmtId="0" fontId="15" fillId="5" borderId="2" applyNumberFormat="0" applyProtection="0">
      <alignment horizontal="left" vertical="center" indent="1"/>
    </xf>
    <xf numFmtId="0" fontId="15" fillId="5" borderId="2" applyNumberFormat="0" applyProtection="0">
      <alignment horizontal="left" vertical="center" indent="1"/>
    </xf>
    <xf numFmtId="0" fontId="15" fillId="5" borderId="2" applyNumberFormat="0" applyProtection="0">
      <alignment horizontal="left" vertical="center" indent="1"/>
    </xf>
    <xf numFmtId="0" fontId="15" fillId="5" borderId="2" applyNumberFormat="0" applyProtection="0">
      <alignment horizontal="left" vertical="center" indent="1"/>
    </xf>
    <xf numFmtId="0" fontId="15" fillId="5" borderId="2" applyNumberFormat="0" applyProtection="0">
      <alignment horizontal="left" vertical="center" indent="1"/>
    </xf>
    <xf numFmtId="0" fontId="87" fillId="0" borderId="0"/>
    <xf numFmtId="4" fontId="88" fillId="46" borderId="2" applyNumberFormat="0" applyProtection="0">
      <alignment horizontal="right" vertical="center"/>
    </xf>
    <xf numFmtId="0" fontId="89" fillId="0" borderId="0">
      <alignment horizontal="left" vertical="center" wrapText="1"/>
    </xf>
    <xf numFmtId="0" fontId="15" fillId="0" borderId="0"/>
    <xf numFmtId="0" fontId="13" fillId="0" borderId="0"/>
    <xf numFmtId="0" fontId="90" fillId="0" borderId="0" applyBorder="0" applyProtection="0">
      <alignment vertical="center"/>
    </xf>
    <xf numFmtId="0" fontId="90" fillId="0" borderId="24" applyBorder="0" applyProtection="0">
      <alignment horizontal="right" vertical="center"/>
    </xf>
    <xf numFmtId="0" fontId="91" fillId="51" borderId="0" applyBorder="0" applyProtection="0">
      <alignment horizontal="centerContinuous" vertical="center"/>
    </xf>
    <xf numFmtId="0" fontId="91" fillId="52" borderId="24" applyBorder="0" applyProtection="0">
      <alignment horizontal="centerContinuous" vertical="center"/>
    </xf>
    <xf numFmtId="0" fontId="92" fillId="0" borderId="0"/>
    <xf numFmtId="168" fontId="93" fillId="53" borderId="0">
      <alignment horizontal="right" vertical="top"/>
    </xf>
    <xf numFmtId="38" fontId="93" fillId="53" borderId="0">
      <alignment horizontal="right" vertical="top"/>
    </xf>
    <xf numFmtId="38" fontId="93" fillId="53" borderId="0">
      <alignment horizontal="right" vertical="top"/>
    </xf>
    <xf numFmtId="0" fontId="73" fillId="0" borderId="0"/>
    <xf numFmtId="0" fontId="94" fillId="0" borderId="0" applyFill="0" applyBorder="0" applyProtection="0">
      <alignment horizontal="left"/>
    </xf>
    <xf numFmtId="0" fontId="49" fillId="0" borderId="29" applyFill="0" applyBorder="0" applyProtection="0">
      <alignment horizontal="left" vertical="top"/>
    </xf>
    <xf numFmtId="0" fontId="95" fillId="0" borderId="0">
      <alignment horizontal="centerContinuous"/>
    </xf>
    <xf numFmtId="0" fontId="96" fillId="0" borderId="29" applyFill="0" applyBorder="0" applyProtection="0"/>
    <xf numFmtId="0" fontId="96" fillId="0" borderId="0"/>
    <xf numFmtId="0" fontId="97" fillId="0" borderId="0" applyFill="0" applyBorder="0" applyProtection="0"/>
    <xf numFmtId="0" fontId="98" fillId="0" borderId="0"/>
    <xf numFmtId="0" fontId="99" fillId="0" borderId="0" applyNumberFormat="0" applyFill="0" applyBorder="0" applyAlignment="0" applyProtection="0"/>
    <xf numFmtId="49" fontId="100" fillId="49" borderId="30" applyNumberFormat="0">
      <alignment horizontal="center" vertical="center"/>
    </xf>
    <xf numFmtId="0" fontId="101" fillId="0" borderId="31" applyNumberFormat="0" applyFill="0" applyAlignment="0" applyProtection="0"/>
    <xf numFmtId="0" fontId="102" fillId="0" borderId="17" applyFill="0" applyBorder="0" applyProtection="0">
      <alignment vertical="center"/>
    </xf>
    <xf numFmtId="0" fontId="103" fillId="0" borderId="0">
      <alignment horizontal="fill"/>
    </xf>
    <xf numFmtId="0" fontId="51" fillId="0" borderId="0"/>
    <xf numFmtId="0" fontId="104" fillId="0" borderId="0" applyNumberFormat="0" applyFill="0" applyBorder="0" applyAlignment="0" applyProtection="0"/>
    <xf numFmtId="0" fontId="105" fillId="0" borderId="24" applyBorder="0" applyProtection="0">
      <alignment horizontal="right"/>
    </xf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175" fontId="27" fillId="0" borderId="14">
      <protection locked="0"/>
    </xf>
    <xf numFmtId="0" fontId="64" fillId="17" borderId="15" applyNumberFormat="0" applyAlignment="0" applyProtection="0"/>
    <xf numFmtId="0" fontId="64" fillId="17" borderId="15" applyNumberFormat="0" applyAlignment="0" applyProtection="0"/>
    <xf numFmtId="0" fontId="64" fillId="17" borderId="15" applyNumberFormat="0" applyAlignment="0" applyProtection="0"/>
    <xf numFmtId="0" fontId="64" fillId="17" borderId="15" applyNumberFormat="0" applyAlignment="0" applyProtection="0"/>
    <xf numFmtId="0" fontId="64" fillId="17" borderId="15" applyNumberFormat="0" applyAlignment="0" applyProtection="0"/>
    <xf numFmtId="0" fontId="64" fillId="17" borderId="15" applyNumberFormat="0" applyAlignment="0" applyProtection="0"/>
    <xf numFmtId="0" fontId="64" fillId="17" borderId="15" applyNumberFormat="0" applyAlignment="0" applyProtection="0"/>
    <xf numFmtId="0" fontId="64" fillId="17" borderId="15" applyNumberFormat="0" applyAlignment="0" applyProtection="0"/>
    <xf numFmtId="0" fontId="64" fillId="17" borderId="15" applyNumberFormat="0" applyAlignment="0" applyProtection="0"/>
    <xf numFmtId="0" fontId="64" fillId="17" borderId="15" applyNumberFormat="0" applyAlignment="0" applyProtection="0"/>
    <xf numFmtId="0" fontId="64" fillId="17" borderId="15" applyNumberFormat="0" applyAlignment="0" applyProtection="0"/>
    <xf numFmtId="0" fontId="64" fillId="17" borderId="15" applyNumberFormat="0" applyAlignment="0" applyProtection="0"/>
    <xf numFmtId="0" fontId="64" fillId="17" borderId="15" applyNumberFormat="0" applyAlignment="0" applyProtection="0"/>
    <xf numFmtId="0" fontId="64" fillId="17" borderId="15" applyNumberFormat="0" applyAlignment="0" applyProtection="0"/>
    <xf numFmtId="0" fontId="64" fillId="17" borderId="15" applyNumberFormat="0" applyAlignment="0" applyProtection="0"/>
    <xf numFmtId="0" fontId="64" fillId="17" borderId="15" applyNumberFormat="0" applyAlignment="0" applyProtection="0"/>
    <xf numFmtId="0" fontId="64" fillId="17" borderId="15" applyNumberFormat="0" applyAlignment="0" applyProtection="0"/>
    <xf numFmtId="0" fontId="64" fillId="17" borderId="15" applyNumberFormat="0" applyAlignment="0" applyProtection="0"/>
    <xf numFmtId="0" fontId="64" fillId="17" borderId="15" applyNumberFormat="0" applyAlignment="0" applyProtection="0"/>
    <xf numFmtId="0" fontId="64" fillId="17" borderId="15" applyNumberFormat="0" applyAlignment="0" applyProtection="0"/>
    <xf numFmtId="0" fontId="64" fillId="17" borderId="15" applyNumberFormat="0" applyAlignment="0" applyProtection="0"/>
    <xf numFmtId="0" fontId="64" fillId="17" borderId="15" applyNumberFormat="0" applyAlignment="0" applyProtection="0"/>
    <xf numFmtId="0" fontId="64" fillId="17" borderId="15" applyNumberFormat="0" applyAlignment="0" applyProtection="0"/>
    <xf numFmtId="0" fontId="64" fillId="17" borderId="15" applyNumberFormat="0" applyAlignment="0" applyProtection="0"/>
    <xf numFmtId="0" fontId="64" fillId="17" borderId="15" applyNumberFormat="0" applyAlignment="0" applyProtection="0"/>
    <xf numFmtId="3" fontId="106" fillId="0" borderId="0">
      <alignment horizontal="center" vertical="center" textRotation="90" wrapText="1"/>
    </xf>
    <xf numFmtId="198" fontId="27" fillId="0" borderId="9">
      <alignment vertical="top" wrapText="1"/>
    </xf>
    <xf numFmtId="0" fontId="74" fillId="30" borderId="2" applyNumberFormat="0" applyAlignment="0" applyProtection="0"/>
    <xf numFmtId="0" fontId="74" fillId="30" borderId="2" applyNumberFormat="0" applyAlignment="0" applyProtection="0"/>
    <xf numFmtId="0" fontId="74" fillId="30" borderId="2" applyNumberFormat="0" applyAlignment="0" applyProtection="0"/>
    <xf numFmtId="0" fontId="74" fillId="30" borderId="2" applyNumberFormat="0" applyAlignment="0" applyProtection="0"/>
    <xf numFmtId="0" fontId="74" fillId="30" borderId="2" applyNumberFormat="0" applyAlignment="0" applyProtection="0"/>
    <xf numFmtId="0" fontId="74" fillId="30" borderId="2" applyNumberFormat="0" applyAlignment="0" applyProtection="0"/>
    <xf numFmtId="0" fontId="74" fillId="30" borderId="2" applyNumberFormat="0" applyAlignment="0" applyProtection="0"/>
    <xf numFmtId="0" fontId="74" fillId="30" borderId="2" applyNumberFormat="0" applyAlignment="0" applyProtection="0"/>
    <xf numFmtId="0" fontId="74" fillId="30" borderId="2" applyNumberFormat="0" applyAlignment="0" applyProtection="0"/>
    <xf numFmtId="0" fontId="74" fillId="30" borderId="2" applyNumberFormat="0" applyAlignment="0" applyProtection="0"/>
    <xf numFmtId="0" fontId="74" fillId="30" borderId="2" applyNumberFormat="0" applyAlignment="0" applyProtection="0"/>
    <xf numFmtId="0" fontId="74" fillId="30" borderId="2" applyNumberFormat="0" applyAlignment="0" applyProtection="0"/>
    <xf numFmtId="0" fontId="74" fillId="30" borderId="2" applyNumberFormat="0" applyAlignment="0" applyProtection="0"/>
    <xf numFmtId="0" fontId="74" fillId="30" borderId="2" applyNumberFormat="0" applyAlignment="0" applyProtection="0"/>
    <xf numFmtId="0" fontId="74" fillId="30" borderId="2" applyNumberFormat="0" applyAlignment="0" applyProtection="0"/>
    <xf numFmtId="0" fontId="74" fillId="30" borderId="2" applyNumberFormat="0" applyAlignment="0" applyProtection="0"/>
    <xf numFmtId="0" fontId="74" fillId="30" borderId="2" applyNumberFormat="0" applyAlignment="0" applyProtection="0"/>
    <xf numFmtId="0" fontId="74" fillId="30" borderId="2" applyNumberFormat="0" applyAlignment="0" applyProtection="0"/>
    <xf numFmtId="0" fontId="74" fillId="30" borderId="2" applyNumberFormat="0" applyAlignment="0" applyProtection="0"/>
    <xf numFmtId="0" fontId="74" fillId="30" borderId="2" applyNumberFormat="0" applyAlignment="0" applyProtection="0"/>
    <xf numFmtId="0" fontId="74" fillId="30" borderId="2" applyNumberFormat="0" applyAlignment="0" applyProtection="0"/>
    <xf numFmtId="0" fontId="74" fillId="30" borderId="2" applyNumberFormat="0" applyAlignment="0" applyProtection="0"/>
    <xf numFmtId="0" fontId="74" fillId="30" borderId="2" applyNumberFormat="0" applyAlignment="0" applyProtection="0"/>
    <xf numFmtId="0" fontId="74" fillId="30" borderId="2" applyNumberFormat="0" applyAlignment="0" applyProtection="0"/>
    <xf numFmtId="0" fontId="74" fillId="30" borderId="2" applyNumberFormat="0" applyAlignment="0" applyProtection="0"/>
    <xf numFmtId="0" fontId="31" fillId="30" borderId="15" applyNumberFormat="0" applyAlignment="0" applyProtection="0"/>
    <xf numFmtId="0" fontId="31" fillId="30" borderId="15" applyNumberFormat="0" applyAlignment="0" applyProtection="0"/>
    <xf numFmtId="0" fontId="31" fillId="30" borderId="15" applyNumberFormat="0" applyAlignment="0" applyProtection="0"/>
    <xf numFmtId="0" fontId="31" fillId="30" borderId="15" applyNumberFormat="0" applyAlignment="0" applyProtection="0"/>
    <xf numFmtId="0" fontId="31" fillId="30" borderId="15" applyNumberFormat="0" applyAlignment="0" applyProtection="0"/>
    <xf numFmtId="0" fontId="31" fillId="30" borderId="15" applyNumberFormat="0" applyAlignment="0" applyProtection="0"/>
    <xf numFmtId="0" fontId="31" fillId="30" borderId="15" applyNumberFormat="0" applyAlignment="0" applyProtection="0"/>
    <xf numFmtId="0" fontId="31" fillId="30" borderId="15" applyNumberFormat="0" applyAlignment="0" applyProtection="0"/>
    <xf numFmtId="0" fontId="31" fillId="30" borderId="15" applyNumberFormat="0" applyAlignment="0" applyProtection="0"/>
    <xf numFmtId="0" fontId="31" fillId="30" borderId="15" applyNumberFormat="0" applyAlignment="0" applyProtection="0"/>
    <xf numFmtId="0" fontId="31" fillId="30" borderId="15" applyNumberFormat="0" applyAlignment="0" applyProtection="0"/>
    <xf numFmtId="0" fontId="31" fillId="30" borderId="15" applyNumberFormat="0" applyAlignment="0" applyProtection="0"/>
    <xf numFmtId="0" fontId="31" fillId="30" borderId="15" applyNumberFormat="0" applyAlignment="0" applyProtection="0"/>
    <xf numFmtId="0" fontId="31" fillId="30" borderId="15" applyNumberFormat="0" applyAlignment="0" applyProtection="0"/>
    <xf numFmtId="0" fontId="31" fillId="30" borderId="15" applyNumberFormat="0" applyAlignment="0" applyProtection="0"/>
    <xf numFmtId="0" fontId="31" fillId="30" borderId="15" applyNumberFormat="0" applyAlignment="0" applyProtection="0"/>
    <xf numFmtId="0" fontId="31" fillId="30" borderId="15" applyNumberFormat="0" applyAlignment="0" applyProtection="0"/>
    <xf numFmtId="0" fontId="31" fillId="30" borderId="15" applyNumberFormat="0" applyAlignment="0" applyProtection="0"/>
    <xf numFmtId="0" fontId="31" fillId="30" borderId="15" applyNumberFormat="0" applyAlignment="0" applyProtection="0"/>
    <xf numFmtId="0" fontId="31" fillId="30" borderId="15" applyNumberFormat="0" applyAlignment="0" applyProtection="0"/>
    <xf numFmtId="0" fontId="31" fillId="30" borderId="15" applyNumberFormat="0" applyAlignment="0" applyProtection="0"/>
    <xf numFmtId="0" fontId="31" fillId="30" borderId="15" applyNumberFormat="0" applyAlignment="0" applyProtection="0"/>
    <xf numFmtId="0" fontId="31" fillId="30" borderId="15" applyNumberFormat="0" applyAlignment="0" applyProtection="0"/>
    <xf numFmtId="0" fontId="31" fillId="30" borderId="15" applyNumberFormat="0" applyAlignment="0" applyProtection="0"/>
    <xf numFmtId="0" fontId="31" fillId="30" borderId="15" applyNumberFormat="0" applyAlignment="0" applyProtection="0"/>
    <xf numFmtId="0" fontId="107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199" fontId="112" fillId="0" borderId="9">
      <alignment vertical="top" wrapText="1"/>
    </xf>
    <xf numFmtId="4" fontId="113" fillId="0" borderId="9">
      <alignment horizontal="left" vertical="center"/>
    </xf>
    <xf numFmtId="4" fontId="113" fillId="0" borderId="9"/>
    <xf numFmtId="4" fontId="113" fillId="54" borderId="9"/>
    <xf numFmtId="4" fontId="113" fillId="55" borderId="9"/>
    <xf numFmtId="4" fontId="114" fillId="10" borderId="9"/>
    <xf numFmtId="4" fontId="115" fillId="9" borderId="9"/>
    <xf numFmtId="4" fontId="116" fillId="0" borderId="9">
      <alignment horizontal="center" wrapText="1"/>
    </xf>
    <xf numFmtId="199" fontId="113" fillId="0" borderId="9"/>
    <xf numFmtId="199" fontId="112" fillId="0" borderId="9">
      <alignment horizontal="center" vertical="center" wrapText="1"/>
    </xf>
    <xf numFmtId="199" fontId="112" fillId="0" borderId="9">
      <alignment vertical="top" wrapText="1"/>
    </xf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117" fillId="0" borderId="0" applyBorder="0">
      <alignment horizontal="center" vertical="center" wrapText="1"/>
    </xf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32" applyBorder="0">
      <alignment horizontal="center" vertical="center" wrapText="1"/>
    </xf>
    <xf numFmtId="175" fontId="36" fillId="32" borderId="14"/>
    <xf numFmtId="4" fontId="9" fillId="4" borderId="9" applyBorder="0">
      <alignment horizontal="right"/>
    </xf>
    <xf numFmtId="49" fontId="121" fillId="0" borderId="0" applyBorder="0">
      <alignment vertical="center"/>
    </xf>
    <xf numFmtId="0" fontId="101" fillId="0" borderId="31" applyNumberFormat="0" applyFill="0" applyAlignment="0" applyProtection="0"/>
    <xf numFmtId="0" fontId="101" fillId="0" borderId="31" applyNumberFormat="0" applyFill="0" applyAlignment="0" applyProtection="0"/>
    <xf numFmtId="0" fontId="101" fillId="0" borderId="31" applyNumberFormat="0" applyFill="0" applyAlignment="0" applyProtection="0"/>
    <xf numFmtId="0" fontId="101" fillId="0" borderId="31" applyNumberFormat="0" applyFill="0" applyAlignment="0" applyProtection="0"/>
    <xf numFmtId="0" fontId="101" fillId="0" borderId="31" applyNumberFormat="0" applyFill="0" applyAlignment="0" applyProtection="0"/>
    <xf numFmtId="0" fontId="101" fillId="0" borderId="31" applyNumberFormat="0" applyFill="0" applyAlignment="0" applyProtection="0"/>
    <xf numFmtId="0" fontId="101" fillId="0" borderId="31" applyNumberFormat="0" applyFill="0" applyAlignment="0" applyProtection="0"/>
    <xf numFmtId="0" fontId="101" fillId="0" borderId="31" applyNumberFormat="0" applyFill="0" applyAlignment="0" applyProtection="0"/>
    <xf numFmtId="0" fontId="101" fillId="0" borderId="31" applyNumberFormat="0" applyFill="0" applyAlignment="0" applyProtection="0"/>
    <xf numFmtId="0" fontId="101" fillId="0" borderId="31" applyNumberFormat="0" applyFill="0" applyAlignment="0" applyProtection="0"/>
    <xf numFmtId="0" fontId="101" fillId="0" borderId="31" applyNumberFormat="0" applyFill="0" applyAlignment="0" applyProtection="0"/>
    <xf numFmtId="0" fontId="101" fillId="0" borderId="31" applyNumberFormat="0" applyFill="0" applyAlignment="0" applyProtection="0"/>
    <xf numFmtId="0" fontId="101" fillId="0" borderId="31" applyNumberFormat="0" applyFill="0" applyAlignment="0" applyProtection="0"/>
    <xf numFmtId="0" fontId="101" fillId="0" borderId="31" applyNumberFormat="0" applyFill="0" applyAlignment="0" applyProtection="0"/>
    <xf numFmtId="0" fontId="101" fillId="0" borderId="31" applyNumberFormat="0" applyFill="0" applyAlignment="0" applyProtection="0"/>
    <xf numFmtId="0" fontId="101" fillId="0" borderId="31" applyNumberFormat="0" applyFill="0" applyAlignment="0" applyProtection="0"/>
    <xf numFmtId="0" fontId="101" fillId="0" borderId="31" applyNumberFormat="0" applyFill="0" applyAlignment="0" applyProtection="0"/>
    <xf numFmtId="0" fontId="101" fillId="0" borderId="31" applyNumberFormat="0" applyFill="0" applyAlignment="0" applyProtection="0"/>
    <xf numFmtId="0" fontId="101" fillId="0" borderId="31" applyNumberFormat="0" applyFill="0" applyAlignment="0" applyProtection="0"/>
    <xf numFmtId="0" fontId="101" fillId="0" borderId="31" applyNumberFormat="0" applyFill="0" applyAlignment="0" applyProtection="0"/>
    <xf numFmtId="0" fontId="101" fillId="0" borderId="31" applyNumberFormat="0" applyFill="0" applyAlignment="0" applyProtection="0"/>
    <xf numFmtId="0" fontId="101" fillId="0" borderId="31" applyNumberFormat="0" applyFill="0" applyAlignment="0" applyProtection="0"/>
    <xf numFmtId="0" fontId="101" fillId="0" borderId="31" applyNumberFormat="0" applyFill="0" applyAlignment="0" applyProtection="0"/>
    <xf numFmtId="0" fontId="101" fillId="0" borderId="31" applyNumberFormat="0" applyFill="0" applyAlignment="0" applyProtection="0"/>
    <xf numFmtId="0" fontId="101" fillId="0" borderId="31" applyNumberFormat="0" applyFill="0" applyAlignment="0" applyProtection="0"/>
    <xf numFmtId="3" fontId="36" fillId="0" borderId="9" applyBorder="0">
      <alignment vertical="center"/>
    </xf>
    <xf numFmtId="0" fontId="70" fillId="0" borderId="13" applyNumberFormat="0" applyFill="0" applyAlignment="0" applyProtection="0"/>
    <xf numFmtId="0" fontId="70" fillId="0" borderId="13" applyNumberFormat="0" applyFill="0" applyAlignment="0" applyProtection="0"/>
    <xf numFmtId="0" fontId="70" fillId="0" borderId="13" applyNumberFormat="0" applyFill="0" applyAlignment="0" applyProtection="0"/>
    <xf numFmtId="0" fontId="70" fillId="0" borderId="13" applyNumberFormat="0" applyFill="0" applyAlignment="0" applyProtection="0"/>
    <xf numFmtId="0" fontId="70" fillId="0" borderId="13" applyNumberFormat="0" applyFill="0" applyAlignment="0" applyProtection="0"/>
    <xf numFmtId="0" fontId="70" fillId="0" borderId="13" applyNumberFormat="0" applyFill="0" applyAlignment="0" applyProtection="0"/>
    <xf numFmtId="0" fontId="70" fillId="0" borderId="13" applyNumberFormat="0" applyFill="0" applyAlignment="0" applyProtection="0"/>
    <xf numFmtId="0" fontId="70" fillId="0" borderId="13" applyNumberFormat="0" applyFill="0" applyAlignment="0" applyProtection="0"/>
    <xf numFmtId="0" fontId="70" fillId="0" borderId="13" applyNumberFormat="0" applyFill="0" applyAlignment="0" applyProtection="0"/>
    <xf numFmtId="0" fontId="70" fillId="0" borderId="13" applyNumberFormat="0" applyFill="0" applyAlignment="0" applyProtection="0"/>
    <xf numFmtId="0" fontId="70" fillId="0" borderId="13" applyNumberFormat="0" applyFill="0" applyAlignment="0" applyProtection="0"/>
    <xf numFmtId="0" fontId="70" fillId="0" borderId="13" applyNumberFormat="0" applyFill="0" applyAlignment="0" applyProtection="0"/>
    <xf numFmtId="0" fontId="70" fillId="0" borderId="13" applyNumberFormat="0" applyFill="0" applyAlignment="0" applyProtection="0"/>
    <xf numFmtId="0" fontId="70" fillId="0" borderId="13" applyNumberFormat="0" applyFill="0" applyAlignment="0" applyProtection="0"/>
    <xf numFmtId="0" fontId="70" fillId="0" borderId="13" applyNumberFormat="0" applyFill="0" applyAlignment="0" applyProtection="0"/>
    <xf numFmtId="0" fontId="70" fillId="0" borderId="13" applyNumberFormat="0" applyFill="0" applyAlignment="0" applyProtection="0"/>
    <xf numFmtId="0" fontId="70" fillId="0" borderId="13" applyNumberFormat="0" applyFill="0" applyAlignment="0" applyProtection="0"/>
    <xf numFmtId="0" fontId="70" fillId="0" borderId="13" applyNumberFormat="0" applyFill="0" applyAlignment="0" applyProtection="0"/>
    <xf numFmtId="0" fontId="70" fillId="0" borderId="13" applyNumberFormat="0" applyFill="0" applyAlignment="0" applyProtection="0"/>
    <xf numFmtId="0" fontId="70" fillId="0" borderId="13" applyNumberFormat="0" applyFill="0" applyAlignment="0" applyProtection="0"/>
    <xf numFmtId="0" fontId="70" fillId="0" borderId="13" applyNumberFormat="0" applyFill="0" applyAlignment="0" applyProtection="0"/>
    <xf numFmtId="0" fontId="70" fillId="0" borderId="13" applyNumberFormat="0" applyFill="0" applyAlignment="0" applyProtection="0"/>
    <xf numFmtId="0" fontId="70" fillId="0" borderId="13" applyNumberFormat="0" applyFill="0" applyAlignment="0" applyProtection="0"/>
    <xf numFmtId="0" fontId="70" fillId="0" borderId="13" applyNumberFormat="0" applyFill="0" applyAlignment="0" applyProtection="0"/>
    <xf numFmtId="0" fontId="32" fillId="31" borderId="16" applyNumberFormat="0" applyAlignment="0" applyProtection="0"/>
    <xf numFmtId="0" fontId="32" fillId="31" borderId="16" applyNumberFormat="0" applyAlignment="0" applyProtection="0"/>
    <xf numFmtId="0" fontId="32" fillId="31" borderId="16" applyNumberFormat="0" applyAlignment="0" applyProtection="0"/>
    <xf numFmtId="0" fontId="32" fillId="31" borderId="16" applyNumberFormat="0" applyAlignment="0" applyProtection="0"/>
    <xf numFmtId="0" fontId="32" fillId="31" borderId="16" applyNumberFormat="0" applyAlignment="0" applyProtection="0"/>
    <xf numFmtId="0" fontId="32" fillId="31" borderId="16" applyNumberFormat="0" applyAlignment="0" applyProtection="0"/>
    <xf numFmtId="0" fontId="32" fillId="31" borderId="16" applyNumberFormat="0" applyAlignment="0" applyProtection="0"/>
    <xf numFmtId="0" fontId="32" fillId="31" borderId="16" applyNumberFormat="0" applyAlignment="0" applyProtection="0"/>
    <xf numFmtId="0" fontId="32" fillId="31" borderId="16" applyNumberFormat="0" applyAlignment="0" applyProtection="0"/>
    <xf numFmtId="0" fontId="32" fillId="31" borderId="16" applyNumberFormat="0" applyAlignment="0" applyProtection="0"/>
    <xf numFmtId="0" fontId="32" fillId="31" borderId="16" applyNumberFormat="0" applyAlignment="0" applyProtection="0"/>
    <xf numFmtId="0" fontId="32" fillId="31" borderId="16" applyNumberFormat="0" applyAlignment="0" applyProtection="0"/>
    <xf numFmtId="0" fontId="32" fillId="31" borderId="16" applyNumberFormat="0" applyAlignment="0" applyProtection="0"/>
    <xf numFmtId="0" fontId="32" fillId="31" borderId="16" applyNumberFormat="0" applyAlignment="0" applyProtection="0"/>
    <xf numFmtId="0" fontId="32" fillId="31" borderId="16" applyNumberFormat="0" applyAlignment="0" applyProtection="0"/>
    <xf numFmtId="0" fontId="32" fillId="31" borderId="16" applyNumberFormat="0" applyAlignment="0" applyProtection="0"/>
    <xf numFmtId="0" fontId="32" fillId="31" borderId="16" applyNumberFormat="0" applyAlignment="0" applyProtection="0"/>
    <xf numFmtId="0" fontId="32" fillId="31" borderId="16" applyNumberFormat="0" applyAlignment="0" applyProtection="0"/>
    <xf numFmtId="0" fontId="32" fillId="31" borderId="16" applyNumberFormat="0" applyAlignment="0" applyProtection="0"/>
    <xf numFmtId="0" fontId="32" fillId="31" borderId="16" applyNumberFormat="0" applyAlignment="0" applyProtection="0"/>
    <xf numFmtId="0" fontId="32" fillId="31" borderId="16" applyNumberFormat="0" applyAlignment="0" applyProtection="0"/>
    <xf numFmtId="0" fontId="32" fillId="31" borderId="16" applyNumberFormat="0" applyAlignment="0" applyProtection="0"/>
    <xf numFmtId="0" fontId="32" fillId="31" borderId="16" applyNumberFormat="0" applyAlignment="0" applyProtection="0"/>
    <xf numFmtId="0" fontId="32" fillId="31" borderId="16" applyNumberFormat="0" applyAlignment="0" applyProtection="0"/>
    <xf numFmtId="0" fontId="32" fillId="31" borderId="16" applyNumberFormat="0" applyAlignment="0" applyProtection="0"/>
    <xf numFmtId="0" fontId="2" fillId="0" borderId="0">
      <alignment wrapText="1"/>
    </xf>
    <xf numFmtId="0" fontId="119" fillId="0" borderId="0">
      <alignment horizontal="center" vertical="top" wrapText="1"/>
    </xf>
    <xf numFmtId="0" fontId="122" fillId="0" borderId="0">
      <alignment horizontal="centerContinuous" vertical="center"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0" fontId="70" fillId="3" borderId="0" applyFill="0">
      <alignment wrapText="1"/>
    </xf>
    <xf numFmtId="200" fontId="123" fillId="3" borderId="9">
      <alignment wrapText="1"/>
    </xf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7" fontId="124" fillId="0" borderId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49" fontId="106" fillId="0" borderId="9">
      <alignment horizontal="right" vertical="top" wrapText="1"/>
    </xf>
    <xf numFmtId="182" fontId="125" fillId="0" borderId="0">
      <alignment horizontal="right" vertical="top" wrapText="1"/>
    </xf>
    <xf numFmtId="49" fontId="9" fillId="0" borderId="0" applyBorder="0">
      <alignment vertical="top"/>
    </xf>
    <xf numFmtId="0" fontId="24" fillId="0" borderId="0"/>
    <xf numFmtId="0" fontId="15" fillId="0" borderId="0"/>
    <xf numFmtId="0" fontId="24" fillId="0" borderId="0"/>
    <xf numFmtId="0" fontId="24" fillId="0" borderId="0"/>
    <xf numFmtId="0" fontId="126" fillId="0" borderId="0"/>
    <xf numFmtId="0" fontId="127" fillId="0" borderId="0"/>
    <xf numFmtId="49" fontId="9" fillId="0" borderId="0" applyBorder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26" fillId="0" borderId="0"/>
    <xf numFmtId="49" fontId="9" fillId="0" borderId="0" applyBorder="0">
      <alignment vertical="top"/>
    </xf>
    <xf numFmtId="49" fontId="9" fillId="0" borderId="0" applyBorder="0">
      <alignment vertical="top"/>
    </xf>
    <xf numFmtId="49" fontId="9" fillId="0" borderId="0" applyBorder="0">
      <alignment vertical="top"/>
    </xf>
    <xf numFmtId="0" fontId="128" fillId="0" borderId="0"/>
    <xf numFmtId="0" fontId="129" fillId="44" borderId="0" applyNumberFormat="0" applyBorder="0" applyAlignment="0">
      <alignment horizontal="left" vertical="center"/>
    </xf>
    <xf numFmtId="0" fontId="129" fillId="44" borderId="0" applyNumberFormat="0" applyBorder="0" applyAlignment="0">
      <alignment horizontal="left" vertical="center"/>
    </xf>
    <xf numFmtId="0" fontId="24" fillId="0" borderId="0"/>
    <xf numFmtId="0" fontId="24" fillId="0" borderId="0"/>
    <xf numFmtId="0" fontId="126" fillId="0" borderId="0"/>
    <xf numFmtId="0" fontId="2" fillId="0" borderId="0"/>
    <xf numFmtId="0" fontId="24" fillId="0" borderId="0"/>
    <xf numFmtId="0" fontId="129" fillId="44" borderId="0" applyNumberFormat="0" applyBorder="0" applyAlignment="0">
      <alignment horizontal="left" vertical="center"/>
    </xf>
    <xf numFmtId="49" fontId="9" fillId="0" borderId="0" applyBorder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49" fontId="9" fillId="0" borderId="0" applyBorder="0">
      <alignment vertical="top"/>
    </xf>
    <xf numFmtId="49" fontId="9" fillId="0" borderId="0" applyBorder="0">
      <alignment vertical="top"/>
    </xf>
    <xf numFmtId="0" fontId="24" fillId="0" borderId="0"/>
    <xf numFmtId="0" fontId="2" fillId="0" borderId="0"/>
    <xf numFmtId="0" fontId="1" fillId="0" borderId="0"/>
    <xf numFmtId="49" fontId="9" fillId="44" borderId="0" applyBorder="0">
      <alignment vertical="top"/>
    </xf>
    <xf numFmtId="0" fontId="15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15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49" fontId="9" fillId="0" borderId="0" applyBorder="0">
      <alignment vertical="top"/>
    </xf>
    <xf numFmtId="49" fontId="9" fillId="0" borderId="0" applyBorder="0">
      <alignment vertical="top"/>
    </xf>
    <xf numFmtId="1" fontId="130" fillId="0" borderId="9">
      <alignment horizontal="left" vertical="center"/>
    </xf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Font="0" applyFill="0" applyBorder="0" applyProtection="0">
      <alignment horizontal="center" vertical="center" wrapText="1"/>
    </xf>
    <xf numFmtId="0" fontId="2" fillId="0" borderId="0" applyFont="0" applyFill="0" applyBorder="0" applyProtection="0">
      <alignment horizontal="center" vertical="center" wrapText="1"/>
    </xf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199" fontId="131" fillId="0" borderId="9">
      <alignment vertical="top"/>
    </xf>
    <xf numFmtId="182" fontId="132" fillId="4" borderId="25" applyNumberFormat="0" applyBorder="0" applyAlignment="0">
      <alignment vertical="center"/>
      <protection locked="0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" fillId="35" borderId="11" applyNumberFormat="0" applyFont="0" applyAlignment="0" applyProtection="0"/>
    <xf numFmtId="0" fontId="2" fillId="35" borderId="11" applyNumberFormat="0" applyFont="0" applyAlignment="0" applyProtection="0"/>
    <xf numFmtId="0" fontId="2" fillId="35" borderId="11" applyNumberFormat="0" applyFont="0" applyAlignment="0" applyProtection="0"/>
    <xf numFmtId="0" fontId="2" fillId="35" borderId="11" applyNumberFormat="0" applyFont="0" applyAlignment="0" applyProtection="0"/>
    <xf numFmtId="0" fontId="2" fillId="35" borderId="11" applyNumberFormat="0" applyFont="0" applyAlignment="0" applyProtection="0"/>
    <xf numFmtId="0" fontId="2" fillId="35" borderId="11" applyNumberFormat="0" applyFont="0" applyAlignment="0" applyProtection="0"/>
    <xf numFmtId="0" fontId="2" fillId="35" borderId="11" applyNumberFormat="0" applyFont="0" applyAlignment="0" applyProtection="0"/>
    <xf numFmtId="0" fontId="2" fillId="35" borderId="11" applyNumberFormat="0" applyFont="0" applyAlignment="0" applyProtection="0"/>
    <xf numFmtId="9" fontId="2" fillId="0" borderId="0" applyFont="0" applyFill="0" applyBorder="0" applyAlignment="0" applyProtection="0"/>
    <xf numFmtId="0" fontId="13" fillId="0" borderId="0"/>
    <xf numFmtId="49" fontId="70" fillId="0" borderId="0">
      <alignment horizontal="center"/>
    </xf>
    <xf numFmtId="41" fontId="133" fillId="0" borderId="0" applyFont="0" applyFill="0" applyBorder="0" applyAlignment="0" applyProtection="0"/>
    <xf numFmtId="43" fontId="133" fillId="0" borderId="0" applyFont="0" applyFill="0" applyBorder="0" applyAlignment="0" applyProtection="0"/>
    <xf numFmtId="4" fontId="9" fillId="3" borderId="0" applyBorder="0">
      <alignment horizontal="right"/>
    </xf>
    <xf numFmtId="4" fontId="9" fillId="56" borderId="33" applyBorder="0">
      <alignment horizontal="right"/>
    </xf>
    <xf numFmtId="4" fontId="9" fillId="3" borderId="9" applyFont="0" applyBorder="0">
      <alignment horizontal="right"/>
    </xf>
    <xf numFmtId="0" fontId="101" fillId="0" borderId="31" applyNumberFormat="0" applyFill="0" applyAlignment="0" applyProtection="0"/>
    <xf numFmtId="0" fontId="64" fillId="17" borderId="15" applyNumberFormat="0" applyAlignment="0" applyProtection="0"/>
    <xf numFmtId="0" fontId="101" fillId="0" borderId="31" applyNumberFormat="0" applyFill="0" applyAlignment="0" applyProtection="0"/>
    <xf numFmtId="0" fontId="101" fillId="0" borderId="31" applyNumberFormat="0" applyFill="0" applyAlignment="0" applyProtection="0"/>
    <xf numFmtId="0" fontId="50" fillId="14" borderId="0" applyNumberFormat="0" applyBorder="0" applyAlignment="0" applyProtection="0"/>
    <xf numFmtId="0" fontId="31" fillId="30" borderId="15" applyNumberFormat="0" applyAlignment="0" applyProtection="0"/>
    <xf numFmtId="0" fontId="57" fillId="0" borderId="20" applyNumberFormat="0" applyFill="0" applyAlignment="0" applyProtection="0"/>
    <xf numFmtId="0" fontId="25" fillId="24" borderId="0" applyNumberFormat="0" applyBorder="0" applyAlignment="0" applyProtection="0"/>
    <xf numFmtId="0" fontId="57" fillId="0" borderId="20" applyNumberFormat="0" applyFill="0" applyAlignment="0" applyProtection="0"/>
    <xf numFmtId="0" fontId="66" fillId="0" borderId="21" applyNumberFormat="0" applyFill="0" applyAlignment="0" applyProtection="0"/>
    <xf numFmtId="0" fontId="32" fillId="31" borderId="16" applyNumberFormat="0" applyAlignment="0" applyProtection="0"/>
    <xf numFmtId="0" fontId="66" fillId="0" borderId="21" applyNumberFormat="0" applyFill="0" applyAlignment="0" applyProtection="0"/>
    <xf numFmtId="0" fontId="104" fillId="0" borderId="0" applyNumberFormat="0" applyFill="0" applyBorder="0" applyAlignment="0" applyProtection="0"/>
  </cellStyleXfs>
  <cellXfs count="102">
    <xf numFmtId="49" fontId="0" fillId="0" borderId="0" xfId="0">
      <alignment vertical="top"/>
    </xf>
    <xf numFmtId="0" fontId="3" fillId="0" borderId="0" xfId="1" applyFont="1"/>
    <xf numFmtId="49" fontId="3" fillId="0" borderId="0" xfId="1" applyNumberFormat="1" applyFont="1"/>
    <xf numFmtId="0" fontId="3" fillId="0" borderId="0" xfId="1" applyFont="1" applyAlignment="1">
      <alignment horizontal="right"/>
    </xf>
    <xf numFmtId="49" fontId="3" fillId="0" borderId="0" xfId="1" applyNumberFormat="1" applyFont="1" applyAlignment="1">
      <alignment horizontal="justify"/>
    </xf>
    <xf numFmtId="0" fontId="3" fillId="0" borderId="0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5" fillId="0" borderId="0" xfId="2" applyNumberFormat="1" applyFont="1" applyAlignment="1" applyProtection="1">
      <alignment horizontal="center" vertical="center" wrapText="1"/>
    </xf>
    <xf numFmtId="0" fontId="6" fillId="0" borderId="6" xfId="1" applyFont="1" applyBorder="1" applyAlignment="1">
      <alignment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9" xfId="1" applyFont="1" applyBorder="1" applyAlignment="1">
      <alignment vertical="center" wrapText="1"/>
    </xf>
    <xf numFmtId="0" fontId="3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49" fontId="7" fillId="0" borderId="0" xfId="1" applyNumberFormat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justify" vertical="center" wrapText="1"/>
    </xf>
    <xf numFmtId="4" fontId="3" fillId="3" borderId="2" xfId="1" applyNumberFormat="1" applyFont="1" applyFill="1" applyBorder="1" applyAlignment="1" applyProtection="1">
      <alignment horizontal="right" vertical="center" wrapText="1"/>
    </xf>
    <xf numFmtId="4" fontId="9" fillId="3" borderId="2" xfId="1" applyNumberFormat="1" applyFont="1" applyFill="1" applyBorder="1" applyAlignment="1" applyProtection="1">
      <alignment horizontal="right" vertical="center" wrapText="1"/>
    </xf>
    <xf numFmtId="49" fontId="3" fillId="4" borderId="2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1" applyFont="1" applyBorder="1" applyAlignment="1">
      <alignment horizontal="left" vertical="center" wrapText="1" indent="1"/>
    </xf>
    <xf numFmtId="4" fontId="3" fillId="5" borderId="2" xfId="1" applyNumberFormat="1" applyFont="1" applyFill="1" applyBorder="1" applyAlignment="1" applyProtection="1">
      <alignment horizontal="right" vertical="center" wrapText="1"/>
    </xf>
    <xf numFmtId="4" fontId="3" fillId="6" borderId="2" xfId="1" applyNumberFormat="1" applyFont="1" applyFill="1" applyBorder="1" applyAlignment="1" applyProtection="1">
      <alignment horizontal="right" vertical="center" wrapText="1"/>
    </xf>
    <xf numFmtId="4" fontId="9" fillId="6" borderId="2" xfId="1" applyNumberFormat="1" applyFont="1" applyFill="1" applyBorder="1" applyAlignment="1" applyProtection="1">
      <alignment horizontal="right" vertical="center" wrapText="1"/>
    </xf>
    <xf numFmtId="164" fontId="3" fillId="6" borderId="2" xfId="1" applyNumberFormat="1" applyFont="1" applyFill="1" applyBorder="1" applyAlignment="1" applyProtection="1">
      <alignment horizontal="right" vertical="center" wrapText="1"/>
    </xf>
    <xf numFmtId="0" fontId="3" fillId="0" borderId="2" xfId="1" applyFont="1" applyBorder="1" applyAlignment="1">
      <alignment horizontal="left" vertical="center" wrapText="1" indent="2"/>
    </xf>
    <xf numFmtId="4" fontId="3" fillId="0" borderId="2" xfId="1" applyNumberFormat="1" applyFont="1" applyFill="1" applyBorder="1" applyAlignment="1" applyProtection="1">
      <alignment horizontal="right" vertical="center" wrapText="1"/>
    </xf>
    <xf numFmtId="49" fontId="10" fillId="7" borderId="2" xfId="1" applyNumberFormat="1" applyFont="1" applyFill="1" applyBorder="1" applyAlignment="1" applyProtection="1">
      <alignment horizontal="center" vertical="center" wrapText="1"/>
    </xf>
    <xf numFmtId="49" fontId="3" fillId="0" borderId="2" xfId="0" applyFont="1" applyBorder="1" applyAlignment="1">
      <alignment vertical="center" wrapText="1"/>
    </xf>
    <xf numFmtId="4" fontId="10" fillId="7" borderId="2" xfId="1" applyNumberFormat="1" applyFont="1" applyFill="1" applyBorder="1" applyAlignment="1" applyProtection="1">
      <alignment horizontal="right" vertical="center" wrapText="1"/>
    </xf>
    <xf numFmtId="4" fontId="3" fillId="3" borderId="2" xfId="1" applyNumberFormat="1" applyFont="1" applyFill="1" applyBorder="1" applyAlignment="1" applyProtection="1">
      <alignment horizontal="center" vertical="center" wrapText="1"/>
    </xf>
    <xf numFmtId="4" fontId="3" fillId="6" borderId="2" xfId="1" applyNumberFormat="1" applyFont="1" applyFill="1" applyBorder="1" applyAlignment="1" applyProtection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justify" vertical="center" wrapText="1"/>
    </xf>
    <xf numFmtId="4" fontId="3" fillId="2" borderId="2" xfId="1" applyNumberFormat="1" applyFont="1" applyFill="1" applyBorder="1" applyAlignment="1" applyProtection="1">
      <alignment horizontal="right" vertical="center" wrapText="1"/>
    </xf>
    <xf numFmtId="4" fontId="9" fillId="2" borderId="2" xfId="1" applyNumberFormat="1" applyFont="1" applyFill="1" applyBorder="1" applyAlignment="1" applyProtection="1">
      <alignment horizontal="right" vertical="center" wrapText="1"/>
    </xf>
    <xf numFmtId="164" fontId="3" fillId="2" borderId="2" xfId="1" applyNumberFormat="1" applyFont="1" applyFill="1" applyBorder="1" applyAlignment="1" applyProtection="1">
      <alignment horizontal="right" vertical="center" wrapText="1"/>
    </xf>
    <xf numFmtId="0" fontId="7" fillId="0" borderId="0" xfId="1" applyFont="1" applyAlignment="1">
      <alignment horizontal="center" vertical="center"/>
    </xf>
    <xf numFmtId="4" fontId="11" fillId="6" borderId="2" xfId="1" applyNumberFormat="1" applyFont="1" applyFill="1" applyBorder="1" applyAlignment="1" applyProtection="1">
      <alignment horizontal="right" vertical="center" wrapText="1"/>
    </xf>
    <xf numFmtId="4" fontId="3" fillId="2" borderId="2" xfId="1" applyNumberFormat="1" applyFont="1" applyFill="1" applyBorder="1" applyAlignment="1" applyProtection="1">
      <alignment horizontal="right" vertical="center" wrapText="1"/>
      <protection locked="0"/>
    </xf>
    <xf numFmtId="4" fontId="3" fillId="6" borderId="2" xfId="1" applyNumberFormat="1" applyFont="1" applyFill="1" applyBorder="1" applyAlignment="1" applyProtection="1">
      <alignment horizontal="right" vertical="center" wrapText="1"/>
      <protection locked="0"/>
    </xf>
    <xf numFmtId="4" fontId="3" fillId="4" borderId="2" xfId="1" applyNumberFormat="1" applyFont="1" applyFill="1" applyBorder="1" applyAlignment="1" applyProtection="1">
      <alignment horizontal="right" vertical="center" wrapText="1"/>
      <protection locked="0"/>
    </xf>
    <xf numFmtId="4" fontId="3" fillId="0" borderId="2" xfId="1" applyNumberFormat="1" applyFont="1" applyBorder="1" applyAlignment="1">
      <alignment horizontal="right" vertical="center" wrapText="1"/>
    </xf>
    <xf numFmtId="49" fontId="3" fillId="0" borderId="2" xfId="0" applyFont="1" applyBorder="1">
      <alignment vertical="top"/>
    </xf>
    <xf numFmtId="4" fontId="10" fillId="8" borderId="2" xfId="1" applyNumberFormat="1" applyFont="1" applyFill="1" applyBorder="1" applyAlignment="1" applyProtection="1">
      <alignment horizontal="right" vertical="center" wrapText="1"/>
    </xf>
    <xf numFmtId="164" fontId="10" fillId="8" borderId="2" xfId="1" applyNumberFormat="1" applyFont="1" applyFill="1" applyBorder="1" applyAlignment="1" applyProtection="1">
      <alignment horizontal="right" vertical="center" wrapText="1"/>
    </xf>
    <xf numFmtId="4" fontId="3" fillId="9" borderId="2" xfId="1" applyNumberFormat="1" applyFont="1" applyFill="1" applyBorder="1" applyAlignment="1" applyProtection="1">
      <alignment horizontal="right" vertical="center" wrapText="1"/>
    </xf>
    <xf numFmtId="4" fontId="3" fillId="10" borderId="2" xfId="1" applyNumberFormat="1" applyFont="1" applyFill="1" applyBorder="1" applyAlignment="1" applyProtection="1">
      <alignment horizontal="right" vertical="center" wrapText="1"/>
      <protection locked="0"/>
    </xf>
    <xf numFmtId="0" fontId="9" fillId="0" borderId="11" xfId="1" applyFont="1" applyBorder="1" applyAlignment="1">
      <alignment horizontal="left" vertical="center" wrapText="1" indent="1"/>
    </xf>
    <xf numFmtId="0" fontId="3" fillId="0" borderId="0" xfId="1" applyFont="1" applyAlignment="1">
      <alignment vertical="center" wrapText="1"/>
    </xf>
    <xf numFmtId="4" fontId="3" fillId="0" borderId="0" xfId="1" applyNumberFormat="1" applyFont="1" applyAlignment="1">
      <alignment vertical="center" wrapText="1"/>
    </xf>
    <xf numFmtId="2" fontId="3" fillId="0" borderId="0" xfId="1" applyNumberFormat="1" applyFont="1" applyAlignment="1">
      <alignment vertical="center" wrapText="1"/>
    </xf>
    <xf numFmtId="0" fontId="12" fillId="0" borderId="0" xfId="1" applyFont="1" applyAlignment="1">
      <alignment vertical="center" wrapText="1"/>
    </xf>
    <xf numFmtId="4" fontId="12" fillId="0" borderId="0" xfId="1" applyNumberFormat="1" applyFont="1" applyAlignment="1">
      <alignment vertical="center" wrapText="1"/>
    </xf>
    <xf numFmtId="0" fontId="3" fillId="0" borderId="0" xfId="1" applyFont="1" applyAlignment="1"/>
    <xf numFmtId="0" fontId="3" fillId="0" borderId="0" xfId="1" applyFont="1" applyAlignment="1">
      <alignment horizontal="left"/>
    </xf>
    <xf numFmtId="0" fontId="6" fillId="0" borderId="3" xfId="1" applyFont="1" applyBorder="1" applyAlignment="1">
      <alignment vertical="center" wrapText="1"/>
    </xf>
    <xf numFmtId="164" fontId="3" fillId="3" borderId="2" xfId="1" applyNumberFormat="1" applyFont="1" applyFill="1" applyBorder="1" applyAlignment="1" applyProtection="1">
      <alignment horizontal="right" vertical="center" wrapText="1"/>
    </xf>
    <xf numFmtId="4" fontId="134" fillId="6" borderId="2" xfId="1" applyNumberFormat="1" applyFont="1" applyFill="1" applyBorder="1" applyAlignment="1" applyProtection="1">
      <alignment horizontal="right" vertical="center" wrapText="1"/>
    </xf>
    <xf numFmtId="4" fontId="3" fillId="57" borderId="2" xfId="1" applyNumberFormat="1" applyFont="1" applyFill="1" applyBorder="1" applyAlignment="1" applyProtection="1">
      <alignment horizontal="right" vertical="center" wrapText="1"/>
      <protection locked="0"/>
    </xf>
    <xf numFmtId="4" fontId="9" fillId="57" borderId="2" xfId="1" applyNumberFormat="1" applyFont="1" applyFill="1" applyBorder="1" applyAlignment="1" applyProtection="1">
      <alignment horizontal="right" vertical="center" wrapText="1"/>
    </xf>
    <xf numFmtId="4" fontId="3" fillId="57" borderId="2" xfId="1" applyNumberFormat="1" applyFont="1" applyFill="1" applyBorder="1" applyAlignment="1" applyProtection="1">
      <alignment horizontal="right" vertical="center" wrapText="1"/>
    </xf>
    <xf numFmtId="4" fontId="135" fillId="57" borderId="2" xfId="1" applyNumberFormat="1" applyFont="1" applyFill="1" applyBorder="1" applyAlignment="1" applyProtection="1">
      <alignment horizontal="right" vertical="center" wrapText="1"/>
    </xf>
    <xf numFmtId="0" fontId="3" fillId="6" borderId="0" xfId="1" applyFont="1" applyFill="1"/>
    <xf numFmtId="49" fontId="3" fillId="6" borderId="0" xfId="1" applyNumberFormat="1" applyFont="1" applyFill="1" applyBorder="1" applyAlignment="1">
      <alignment horizontal="center" vertical="center" wrapText="1"/>
    </xf>
    <xf numFmtId="0" fontId="3" fillId="6" borderId="0" xfId="1" applyFont="1" applyFill="1" applyBorder="1" applyAlignment="1">
      <alignment horizontal="left" vertical="center" wrapText="1" indent="1"/>
    </xf>
    <xf numFmtId="4" fontId="3" fillId="6" borderId="0" xfId="1" applyNumberFormat="1" applyFont="1" applyFill="1" applyBorder="1" applyAlignment="1" applyProtection="1">
      <alignment horizontal="right" vertical="center" wrapText="1"/>
    </xf>
    <xf numFmtId="4" fontId="3" fillId="6" borderId="0" xfId="1" applyNumberFormat="1" applyFont="1" applyFill="1" applyBorder="1" applyAlignment="1" applyProtection="1">
      <alignment horizontal="right" vertical="center" wrapText="1"/>
      <protection locked="0"/>
    </xf>
    <xf numFmtId="4" fontId="9" fillId="6" borderId="0" xfId="1" applyNumberFormat="1" applyFont="1" applyFill="1" applyBorder="1" applyAlignment="1" applyProtection="1">
      <alignment horizontal="right" vertical="center" wrapText="1"/>
    </xf>
    <xf numFmtId="49" fontId="3" fillId="6" borderId="0" xfId="1" applyNumberFormat="1" applyFont="1" applyFill="1" applyBorder="1" applyAlignment="1" applyProtection="1">
      <alignment horizontal="center" vertical="center" wrapText="1"/>
      <protection locked="0"/>
    </xf>
    <xf numFmtId="49" fontId="11" fillId="57" borderId="2" xfId="1" applyNumberFormat="1" applyFont="1" applyFill="1" applyBorder="1" applyAlignment="1">
      <alignment horizontal="center" vertical="center" wrapText="1"/>
    </xf>
    <xf numFmtId="0" fontId="11" fillId="57" borderId="2" xfId="1" applyFont="1" applyFill="1" applyBorder="1" applyAlignment="1">
      <alignment horizontal="justify" vertical="center" wrapText="1"/>
    </xf>
    <xf numFmtId="4" fontId="11" fillId="57" borderId="2" xfId="1" applyNumberFormat="1" applyFont="1" applyFill="1" applyBorder="1" applyAlignment="1">
      <alignment horizontal="right" vertical="center" wrapText="1"/>
    </xf>
    <xf numFmtId="4" fontId="120" fillId="57" borderId="2" xfId="1" applyNumberFormat="1" applyFont="1" applyFill="1" applyBorder="1" applyAlignment="1" applyProtection="1">
      <alignment horizontal="right" vertical="center" wrapText="1"/>
    </xf>
    <xf numFmtId="164" fontId="11" fillId="57" borderId="2" xfId="1" applyNumberFormat="1" applyFont="1" applyFill="1" applyBorder="1" applyAlignment="1">
      <alignment horizontal="right" vertical="center" wrapText="1"/>
    </xf>
    <xf numFmtId="0" fontId="11" fillId="0" borderId="2" xfId="1" applyFont="1" applyBorder="1" applyAlignment="1">
      <alignment horizontal="justify" vertical="center" wrapText="1"/>
    </xf>
    <xf numFmtId="4" fontId="11" fillId="0" borderId="2" xfId="1" applyNumberFormat="1" applyFont="1" applyBorder="1" applyAlignment="1">
      <alignment horizontal="right" vertical="center" wrapText="1"/>
    </xf>
    <xf numFmtId="4" fontId="11" fillId="6" borderId="2" xfId="1" applyNumberFormat="1" applyFont="1" applyFill="1" applyBorder="1" applyAlignment="1">
      <alignment horizontal="right" vertical="center" wrapText="1"/>
    </xf>
    <xf numFmtId="4" fontId="120" fillId="6" borderId="2" xfId="1" applyNumberFormat="1" applyFont="1" applyFill="1" applyBorder="1" applyAlignment="1" applyProtection="1">
      <alignment horizontal="right" vertical="center" wrapText="1"/>
    </xf>
    <xf numFmtId="4" fontId="120" fillId="3" borderId="2" xfId="1" applyNumberFormat="1" applyFont="1" applyFill="1" applyBorder="1" applyAlignment="1" applyProtection="1">
      <alignment horizontal="right" vertical="center" wrapText="1"/>
    </xf>
    <xf numFmtId="3" fontId="3" fillId="6" borderId="2" xfId="1" applyNumberFormat="1" applyFont="1" applyFill="1" applyBorder="1" applyAlignment="1" applyProtection="1">
      <alignment horizontal="right" vertical="center" wrapText="1"/>
    </xf>
    <xf numFmtId="3" fontId="3" fillId="6" borderId="2" xfId="1" applyNumberFormat="1" applyFont="1" applyFill="1" applyBorder="1" applyAlignment="1" applyProtection="1">
      <alignment horizontal="right" vertical="center" wrapText="1"/>
      <protection locked="0"/>
    </xf>
    <xf numFmtId="3" fontId="9" fillId="3" borderId="2" xfId="1" applyNumberFormat="1" applyFont="1" applyFill="1" applyBorder="1" applyAlignment="1" applyProtection="1">
      <alignment horizontal="right" vertical="center" wrapText="1"/>
    </xf>
    <xf numFmtId="3" fontId="3" fillId="5" borderId="2" xfId="1" applyNumberFormat="1" applyFont="1" applyFill="1" applyBorder="1" applyAlignment="1" applyProtection="1">
      <alignment horizontal="right" vertical="center" wrapText="1"/>
    </xf>
    <xf numFmtId="3" fontId="3" fillId="4" borderId="2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Fill="1" applyAlignment="1" applyProtection="1">
      <alignment horizontal="left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</cellXfs>
  <cellStyles count="2024">
    <cellStyle name=" 1" xfId="3"/>
    <cellStyle name=" 1 2" xfId="4"/>
    <cellStyle name=" 1_Stage1" xfId="5"/>
    <cellStyle name="_x000a_bidires=100_x000d_" xfId="6"/>
    <cellStyle name="%" xfId="7"/>
    <cellStyle name="%_Inputs" xfId="8"/>
    <cellStyle name="%_Inputs (const)" xfId="9"/>
    <cellStyle name="%_Inputs Co" xfId="10"/>
    <cellStyle name="?…?ж?Ш?и [0.00]" xfId="11"/>
    <cellStyle name="?W??_‘O’с?р??" xfId="12"/>
    <cellStyle name="_CashFlow_2007_проект_02_02_final" xfId="13"/>
    <cellStyle name="_Model_RAB Мой" xfId="14"/>
    <cellStyle name="_Model_RAB Мой 2" xfId="15"/>
    <cellStyle name="_Model_RAB Мой 2_OREP.KU.2011.MONTHLY.02(v0.1)" xfId="16"/>
    <cellStyle name="_Model_RAB Мой 2_OREP.KU.2011.MONTHLY.02(v0.4)" xfId="17"/>
    <cellStyle name="_Model_RAB Мой 2_OREP.KU.2011.MONTHLY.11(v1.4)" xfId="18"/>
    <cellStyle name="_Model_RAB Мой 2_UPDATE.OREP.KU.2011.MONTHLY.02.TO.1.2" xfId="19"/>
    <cellStyle name="_Model_RAB Мой_46EE.2011(v1.0)" xfId="20"/>
    <cellStyle name="_Model_RAB Мой_46EE.2011(v1.0)_INDEX.STATION.2012(v1.0)_" xfId="21"/>
    <cellStyle name="_Model_RAB Мой_46EE.2011(v1.0)_INDEX.STATION.2012(v2.0)" xfId="22"/>
    <cellStyle name="_Model_RAB Мой_ARMRAZR" xfId="23"/>
    <cellStyle name="_Model_RAB Мой_BALANCE.WARM.2011YEAR.NEW.UPDATE.SCHEME" xfId="24"/>
    <cellStyle name="_Model_RAB Мой_EE.2REK.P2011.4.78(v0.3)" xfId="25"/>
    <cellStyle name="_Model_RAB Мой_INVEST.EE.PLAN.4.78(v0.1)" xfId="26"/>
    <cellStyle name="_Model_RAB Мой_INVEST.EE.PLAN.4.78(v0.3)" xfId="27"/>
    <cellStyle name="_Model_RAB Мой_INVEST.PLAN.4.78(v0.1)" xfId="28"/>
    <cellStyle name="_Model_RAB Мой_INVEST.WARM.PLAN.4.78(v0.1)" xfId="29"/>
    <cellStyle name="_Model_RAB Мой_INVEST_WARM_PLAN" xfId="30"/>
    <cellStyle name="_Model_RAB Мой_NADB.JNVLS.APTEKA.2011(v1.3.3)" xfId="31"/>
    <cellStyle name="_Model_RAB Мой_NADB.JNVLS.APTEKA.2011(v1.3.3)_INDEX.STATION.2012(v1.0)_" xfId="32"/>
    <cellStyle name="_Model_RAB Мой_NADB.JNVLS.APTEKA.2011(v1.3.3)_INDEX.STATION.2012(v2.0)" xfId="33"/>
    <cellStyle name="_Model_RAB Мой_NADB.JNVLS.APTEKA.2011(v1.3.4)" xfId="34"/>
    <cellStyle name="_Model_RAB Мой_NADB.JNVLS.APTEKA.2011(v1.3.4)_INDEX.STATION.2012(v1.0)_" xfId="35"/>
    <cellStyle name="_Model_RAB Мой_NADB.JNVLS.APTEKA.2011(v1.3.4)_INDEX.STATION.2012(v2.0)" xfId="36"/>
    <cellStyle name="_Model_RAB Мой_PR.PROG.WARM.NOTCOMBI.2012.2.16_v1.4(04.04.11) " xfId="37"/>
    <cellStyle name="_Model_RAB Мой_PREDEL.JKH.UTV.2011(v1.0.1)" xfId="38"/>
    <cellStyle name="_Model_RAB Мой_PREDEL.JKH.UTV.2011(v1.0.1)_INDEX.STATION.2012(v1.0)_" xfId="39"/>
    <cellStyle name="_Model_RAB Мой_PREDEL.JKH.UTV.2011(v1.0.1)_INDEX.STATION.2012(v2.0)" xfId="40"/>
    <cellStyle name="_Model_RAB Мой_TEST.TEMPLATE" xfId="41"/>
    <cellStyle name="_Model_RAB Мой_UPDATE.46EE.2011.TO.1.1" xfId="42"/>
    <cellStyle name="_Model_RAB Мой_UPDATE.BALANCE.WARM.2011YEAR.TO.1.1" xfId="43"/>
    <cellStyle name="_Model_RAB Мой_UPDATE.BALANCE.WARM.2011YEAR.TO.1.1_INDEX.STATION.2012(v1.0)_" xfId="44"/>
    <cellStyle name="_Model_RAB Мой_UPDATE.BALANCE.WARM.2011YEAR.TO.1.1_INDEX.STATION.2012(v2.0)" xfId="45"/>
    <cellStyle name="_Model_RAB Мой_UPDATE.BALANCE.WARM.2011YEAR.TO.1.1_OREP.KU.2011.MONTHLY.02(v1.1)" xfId="46"/>
    <cellStyle name="_Model_RAB Мой_UPDATE.JKH.OPEN.INFO.TARIFF.HVS.TO.4.3.64" xfId="47"/>
    <cellStyle name="_Model_RAB Мой_Книга2_PR.PROG.WARM.NOTCOMBI.2012.2.16_v1.4(04.04.11) " xfId="48"/>
    <cellStyle name="_Model_RAB_MRSK_svod" xfId="49"/>
    <cellStyle name="_Model_RAB_MRSK_svod 2" xfId="50"/>
    <cellStyle name="_Model_RAB_MRSK_svod 2_OREP.KU.2011.MONTHLY.02(v0.1)" xfId="51"/>
    <cellStyle name="_Model_RAB_MRSK_svod 2_OREP.KU.2011.MONTHLY.02(v0.4)" xfId="52"/>
    <cellStyle name="_Model_RAB_MRSK_svod 2_OREP.KU.2011.MONTHLY.11(v1.4)" xfId="53"/>
    <cellStyle name="_Model_RAB_MRSK_svod 2_UPDATE.OREP.KU.2011.MONTHLY.02.TO.1.2" xfId="54"/>
    <cellStyle name="_Model_RAB_MRSK_svod_46EE.2011(v1.0)" xfId="55"/>
    <cellStyle name="_Model_RAB_MRSK_svod_46EE.2011(v1.0)_INDEX.STATION.2012(v1.0)_" xfId="56"/>
    <cellStyle name="_Model_RAB_MRSK_svod_46EE.2011(v1.0)_INDEX.STATION.2012(v2.0)" xfId="57"/>
    <cellStyle name="_Model_RAB_MRSK_svod_ARMRAZR" xfId="58"/>
    <cellStyle name="_Model_RAB_MRSK_svod_BALANCE.WARM.2011YEAR.NEW.UPDATE.SCHEME" xfId="59"/>
    <cellStyle name="_Model_RAB_MRSK_svod_EE.2REK.P2011.4.78(v0.3)" xfId="60"/>
    <cellStyle name="_Model_RAB_MRSK_svod_INVEST.EE.PLAN.4.78(v0.1)" xfId="61"/>
    <cellStyle name="_Model_RAB_MRSK_svod_INVEST.EE.PLAN.4.78(v0.3)" xfId="62"/>
    <cellStyle name="_Model_RAB_MRSK_svod_INVEST.PLAN.4.78(v0.1)" xfId="63"/>
    <cellStyle name="_Model_RAB_MRSK_svod_INVEST.WARM.PLAN.4.78(v0.1)" xfId="64"/>
    <cellStyle name="_Model_RAB_MRSK_svod_INVEST_WARM_PLAN" xfId="65"/>
    <cellStyle name="_Model_RAB_MRSK_svod_NADB.JNVLS.APTEKA.2011(v1.3.3)" xfId="66"/>
    <cellStyle name="_Model_RAB_MRSK_svod_NADB.JNVLS.APTEKA.2011(v1.3.3)_INDEX.STATION.2012(v1.0)_" xfId="67"/>
    <cellStyle name="_Model_RAB_MRSK_svod_NADB.JNVLS.APTEKA.2011(v1.3.3)_INDEX.STATION.2012(v2.0)" xfId="68"/>
    <cellStyle name="_Model_RAB_MRSK_svod_NADB.JNVLS.APTEKA.2011(v1.3.4)" xfId="69"/>
    <cellStyle name="_Model_RAB_MRSK_svod_NADB.JNVLS.APTEKA.2011(v1.3.4)_INDEX.STATION.2012(v1.0)_" xfId="70"/>
    <cellStyle name="_Model_RAB_MRSK_svod_NADB.JNVLS.APTEKA.2011(v1.3.4)_INDEX.STATION.2012(v2.0)" xfId="71"/>
    <cellStyle name="_Model_RAB_MRSK_svod_PR.PROG.WARM.NOTCOMBI.2012.2.16_v1.4(04.04.11) " xfId="72"/>
    <cellStyle name="_Model_RAB_MRSK_svod_PREDEL.JKH.UTV.2011(v1.0.1)" xfId="73"/>
    <cellStyle name="_Model_RAB_MRSK_svod_PREDEL.JKH.UTV.2011(v1.0.1)_INDEX.STATION.2012(v1.0)_" xfId="74"/>
    <cellStyle name="_Model_RAB_MRSK_svod_PREDEL.JKH.UTV.2011(v1.0.1)_INDEX.STATION.2012(v2.0)" xfId="75"/>
    <cellStyle name="_Model_RAB_MRSK_svod_TEST.TEMPLATE" xfId="76"/>
    <cellStyle name="_Model_RAB_MRSK_svod_UPDATE.46EE.2011.TO.1.1" xfId="77"/>
    <cellStyle name="_Model_RAB_MRSK_svod_UPDATE.BALANCE.WARM.2011YEAR.TO.1.1" xfId="78"/>
    <cellStyle name="_Model_RAB_MRSK_svod_UPDATE.BALANCE.WARM.2011YEAR.TO.1.1_INDEX.STATION.2012(v1.0)_" xfId="79"/>
    <cellStyle name="_Model_RAB_MRSK_svod_UPDATE.BALANCE.WARM.2011YEAR.TO.1.1_INDEX.STATION.2012(v2.0)" xfId="80"/>
    <cellStyle name="_Model_RAB_MRSK_svod_UPDATE.BALANCE.WARM.2011YEAR.TO.1.1_OREP.KU.2011.MONTHLY.02(v1.1)" xfId="81"/>
    <cellStyle name="_Model_RAB_MRSK_svod_UPDATE.JKH.OPEN.INFO.TARIFF.HVS.TO.4.3.64" xfId="82"/>
    <cellStyle name="_Model_RAB_MRSK_svod_Книга2_PR.PROG.WARM.NOTCOMBI.2012.2.16_v1.4(04.04.11) " xfId="83"/>
    <cellStyle name="_Plug" xfId="84"/>
    <cellStyle name="_Plug_UPDATE.JKH.OPEN.INFO.TARIFF.HVS.TO.4.3.64" xfId="85"/>
    <cellStyle name="_Бюджет2006_ПОКАЗАТЕЛИ СВОДНЫЕ" xfId="86"/>
    <cellStyle name="_ВО ОП ТЭС-ОТ- 2007" xfId="87"/>
    <cellStyle name="_ВФ ОАО ТЭС-ОТ- 2009" xfId="88"/>
    <cellStyle name="_выручка по присоединениям2" xfId="89"/>
    <cellStyle name="_Договор аренды ЯЭ с разбивкой" xfId="90"/>
    <cellStyle name="_Защита ФЗП" xfId="91"/>
    <cellStyle name="_Исходные данные для модели" xfId="92"/>
    <cellStyle name="_Консолидация-2008-проект-new" xfId="93"/>
    <cellStyle name="_МОДЕЛЬ_1 (2)" xfId="94"/>
    <cellStyle name="_МОДЕЛЬ_1 (2) 2" xfId="95"/>
    <cellStyle name="_МОДЕЛЬ_1 (2) 2_OREP.KU.2011.MONTHLY.02(v0.1)" xfId="96"/>
    <cellStyle name="_МОДЕЛЬ_1 (2) 2_OREP.KU.2011.MONTHLY.02(v0.4)" xfId="97"/>
    <cellStyle name="_МОДЕЛЬ_1 (2) 2_OREP.KU.2011.MONTHLY.11(v1.4)" xfId="98"/>
    <cellStyle name="_МОДЕЛЬ_1 (2) 2_UPDATE.OREP.KU.2011.MONTHLY.02.TO.1.2" xfId="99"/>
    <cellStyle name="_МОДЕЛЬ_1 (2)_46EE.2011(v1.0)" xfId="100"/>
    <cellStyle name="_МОДЕЛЬ_1 (2)_46EE.2011(v1.0)_INDEX.STATION.2012(v1.0)_" xfId="101"/>
    <cellStyle name="_МОДЕЛЬ_1 (2)_46EE.2011(v1.0)_INDEX.STATION.2012(v2.0)" xfId="102"/>
    <cellStyle name="_МОДЕЛЬ_1 (2)_ARMRAZR" xfId="103"/>
    <cellStyle name="_МОДЕЛЬ_1 (2)_BALANCE.WARM.2011YEAR.NEW.UPDATE.SCHEME" xfId="104"/>
    <cellStyle name="_МОДЕЛЬ_1 (2)_EE.2REK.P2011.4.78(v0.3)" xfId="105"/>
    <cellStyle name="_МОДЕЛЬ_1 (2)_INVEST.EE.PLAN.4.78(v0.1)" xfId="106"/>
    <cellStyle name="_МОДЕЛЬ_1 (2)_INVEST.EE.PLAN.4.78(v0.3)" xfId="107"/>
    <cellStyle name="_МОДЕЛЬ_1 (2)_INVEST.PLAN.4.78(v0.1)" xfId="108"/>
    <cellStyle name="_МОДЕЛЬ_1 (2)_INVEST.WARM.PLAN.4.78(v0.1)" xfId="109"/>
    <cellStyle name="_МОДЕЛЬ_1 (2)_INVEST_WARM_PLAN" xfId="110"/>
    <cellStyle name="_МОДЕЛЬ_1 (2)_NADB.JNVLS.APTEKA.2011(v1.3.3)" xfId="111"/>
    <cellStyle name="_МОДЕЛЬ_1 (2)_NADB.JNVLS.APTEKA.2011(v1.3.3)_INDEX.STATION.2012(v1.0)_" xfId="112"/>
    <cellStyle name="_МОДЕЛЬ_1 (2)_NADB.JNVLS.APTEKA.2011(v1.3.3)_INDEX.STATION.2012(v2.0)" xfId="113"/>
    <cellStyle name="_МОДЕЛЬ_1 (2)_NADB.JNVLS.APTEKA.2011(v1.3.4)" xfId="114"/>
    <cellStyle name="_МОДЕЛЬ_1 (2)_NADB.JNVLS.APTEKA.2011(v1.3.4)_INDEX.STATION.2012(v1.0)_" xfId="115"/>
    <cellStyle name="_МОДЕЛЬ_1 (2)_NADB.JNVLS.APTEKA.2011(v1.3.4)_INDEX.STATION.2012(v2.0)" xfId="116"/>
    <cellStyle name="_МОДЕЛЬ_1 (2)_PR.PROG.WARM.NOTCOMBI.2012.2.16_v1.4(04.04.11) " xfId="117"/>
    <cellStyle name="_МОДЕЛЬ_1 (2)_PREDEL.JKH.UTV.2011(v1.0.1)" xfId="118"/>
    <cellStyle name="_МОДЕЛЬ_1 (2)_PREDEL.JKH.UTV.2011(v1.0.1)_INDEX.STATION.2012(v1.0)_" xfId="119"/>
    <cellStyle name="_МОДЕЛЬ_1 (2)_PREDEL.JKH.UTV.2011(v1.0.1)_INDEX.STATION.2012(v2.0)" xfId="120"/>
    <cellStyle name="_МОДЕЛЬ_1 (2)_TEST.TEMPLATE" xfId="121"/>
    <cellStyle name="_МОДЕЛЬ_1 (2)_UPDATE.46EE.2011.TO.1.1" xfId="122"/>
    <cellStyle name="_МОДЕЛЬ_1 (2)_UPDATE.BALANCE.WARM.2011YEAR.TO.1.1" xfId="123"/>
    <cellStyle name="_МОДЕЛЬ_1 (2)_UPDATE.BALANCE.WARM.2011YEAR.TO.1.1_INDEX.STATION.2012(v1.0)_" xfId="124"/>
    <cellStyle name="_МОДЕЛЬ_1 (2)_UPDATE.BALANCE.WARM.2011YEAR.TO.1.1_INDEX.STATION.2012(v2.0)" xfId="125"/>
    <cellStyle name="_МОДЕЛЬ_1 (2)_UPDATE.BALANCE.WARM.2011YEAR.TO.1.1_OREP.KU.2011.MONTHLY.02(v1.1)" xfId="126"/>
    <cellStyle name="_МОДЕЛЬ_1 (2)_UPDATE.JKH.OPEN.INFO.TARIFF.HVS.TO.4.3.64" xfId="127"/>
    <cellStyle name="_МОДЕЛЬ_1 (2)_Книга2_PR.PROG.WARM.NOTCOMBI.2012.2.16_v1.4(04.04.11) " xfId="128"/>
    <cellStyle name="_НВВ 2009 постатейно свод по филиалам_09_02_09" xfId="129"/>
    <cellStyle name="_НВВ 2009 постатейно свод по филиалам_для Валентина" xfId="130"/>
    <cellStyle name="_Омск" xfId="131"/>
    <cellStyle name="_ОТ ИД 2009" xfId="132"/>
    <cellStyle name="_пр 5 тариф RAB" xfId="133"/>
    <cellStyle name="_пр 5 тариф RAB 2" xfId="134"/>
    <cellStyle name="_пр 5 тариф RAB 2_OREP.KU.2011.MONTHLY.02(v0.1)" xfId="135"/>
    <cellStyle name="_пр 5 тариф RAB 2_OREP.KU.2011.MONTHLY.02(v0.4)" xfId="136"/>
    <cellStyle name="_пр 5 тариф RAB 2_OREP.KU.2011.MONTHLY.11(v1.4)" xfId="137"/>
    <cellStyle name="_пр 5 тариф RAB 2_UPDATE.OREP.KU.2011.MONTHLY.02.TO.1.2" xfId="138"/>
    <cellStyle name="_пр 5 тариф RAB_46EE.2011(v1.0)" xfId="139"/>
    <cellStyle name="_пр 5 тариф RAB_46EE.2011(v1.0)_INDEX.STATION.2012(v1.0)_" xfId="140"/>
    <cellStyle name="_пр 5 тариф RAB_46EE.2011(v1.0)_INDEX.STATION.2012(v2.0)" xfId="141"/>
    <cellStyle name="_пр 5 тариф RAB_ARMRAZR" xfId="142"/>
    <cellStyle name="_пр 5 тариф RAB_BALANCE.WARM.2011YEAR.NEW.UPDATE.SCHEME" xfId="143"/>
    <cellStyle name="_пр 5 тариф RAB_EE.2REK.P2011.4.78(v0.3)" xfId="144"/>
    <cellStyle name="_пр 5 тариф RAB_INVEST.EE.PLAN.4.78(v0.1)" xfId="145"/>
    <cellStyle name="_пр 5 тариф RAB_INVEST.EE.PLAN.4.78(v0.3)" xfId="146"/>
    <cellStyle name="_пр 5 тариф RAB_INVEST.PLAN.4.78(v0.1)" xfId="147"/>
    <cellStyle name="_пр 5 тариф RAB_INVEST.WARM.PLAN.4.78(v0.1)" xfId="148"/>
    <cellStyle name="_пр 5 тариф RAB_INVEST_WARM_PLAN" xfId="149"/>
    <cellStyle name="_пр 5 тариф RAB_NADB.JNVLS.APTEKA.2011(v1.3.3)" xfId="150"/>
    <cellStyle name="_пр 5 тариф RAB_NADB.JNVLS.APTEKA.2011(v1.3.3)_INDEX.STATION.2012(v1.0)_" xfId="151"/>
    <cellStyle name="_пр 5 тариф RAB_NADB.JNVLS.APTEKA.2011(v1.3.3)_INDEX.STATION.2012(v2.0)" xfId="152"/>
    <cellStyle name="_пр 5 тариф RAB_NADB.JNVLS.APTEKA.2011(v1.3.4)" xfId="153"/>
    <cellStyle name="_пр 5 тариф RAB_NADB.JNVLS.APTEKA.2011(v1.3.4)_INDEX.STATION.2012(v1.0)_" xfId="154"/>
    <cellStyle name="_пр 5 тариф RAB_NADB.JNVLS.APTEKA.2011(v1.3.4)_INDEX.STATION.2012(v2.0)" xfId="155"/>
    <cellStyle name="_пр 5 тариф RAB_PR.PROG.WARM.NOTCOMBI.2012.2.16_v1.4(04.04.11) " xfId="156"/>
    <cellStyle name="_пр 5 тариф RAB_PREDEL.JKH.UTV.2011(v1.0.1)" xfId="157"/>
    <cellStyle name="_пр 5 тариф RAB_PREDEL.JKH.UTV.2011(v1.0.1)_INDEX.STATION.2012(v1.0)_" xfId="158"/>
    <cellStyle name="_пр 5 тариф RAB_PREDEL.JKH.UTV.2011(v1.0.1)_INDEX.STATION.2012(v2.0)" xfId="159"/>
    <cellStyle name="_пр 5 тариф RAB_TEST.TEMPLATE" xfId="160"/>
    <cellStyle name="_пр 5 тариф RAB_UPDATE.46EE.2011.TO.1.1" xfId="161"/>
    <cellStyle name="_пр 5 тариф RAB_UPDATE.BALANCE.WARM.2011YEAR.TO.1.1" xfId="162"/>
    <cellStyle name="_пр 5 тариф RAB_UPDATE.BALANCE.WARM.2011YEAR.TO.1.1_INDEX.STATION.2012(v1.0)_" xfId="163"/>
    <cellStyle name="_пр 5 тариф RAB_UPDATE.BALANCE.WARM.2011YEAR.TO.1.1_INDEX.STATION.2012(v2.0)" xfId="164"/>
    <cellStyle name="_пр 5 тариф RAB_UPDATE.BALANCE.WARM.2011YEAR.TO.1.1_OREP.KU.2011.MONTHLY.02(v1.1)" xfId="165"/>
    <cellStyle name="_пр 5 тариф RAB_UPDATE.JKH.OPEN.INFO.TARIFF.HVS.TO.4.3.64" xfId="166"/>
    <cellStyle name="_пр 5 тариф RAB_Книга2_PR.PROG.WARM.NOTCOMBI.2012.2.16_v1.4(04.04.11) " xfId="167"/>
    <cellStyle name="_Предожение _ДБП_2009 г ( согласованные БП)  (2)" xfId="168"/>
    <cellStyle name="_Приложение 2 0806 факт" xfId="169"/>
    <cellStyle name="_Приложение МТС-3-КС" xfId="170"/>
    <cellStyle name="_Приложение-МТС--2-1" xfId="171"/>
    <cellStyle name="_Расчет RAB_22072008" xfId="172"/>
    <cellStyle name="_Расчет RAB_22072008 2" xfId="173"/>
    <cellStyle name="_Расчет RAB_22072008 2_OREP.KU.2011.MONTHLY.02(v0.1)" xfId="174"/>
    <cellStyle name="_Расчет RAB_22072008 2_OREP.KU.2011.MONTHLY.02(v0.4)" xfId="175"/>
    <cellStyle name="_Расчет RAB_22072008 2_OREP.KU.2011.MONTHLY.11(v1.4)" xfId="176"/>
    <cellStyle name="_Расчет RAB_22072008 2_UPDATE.OREP.KU.2011.MONTHLY.02.TO.1.2" xfId="177"/>
    <cellStyle name="_Расчет RAB_22072008_46EE.2011(v1.0)" xfId="178"/>
    <cellStyle name="_Расчет RAB_22072008_46EE.2011(v1.0)_INDEX.STATION.2012(v1.0)_" xfId="179"/>
    <cellStyle name="_Расчет RAB_22072008_46EE.2011(v1.0)_INDEX.STATION.2012(v2.0)" xfId="180"/>
    <cellStyle name="_Расчет RAB_22072008_ARMRAZR" xfId="181"/>
    <cellStyle name="_Расчет RAB_22072008_BALANCE.WARM.2011YEAR.NEW.UPDATE.SCHEME" xfId="182"/>
    <cellStyle name="_Расчет RAB_22072008_EE.2REK.P2011.4.78(v0.3)" xfId="183"/>
    <cellStyle name="_Расчет RAB_22072008_INVEST.EE.PLAN.4.78(v0.1)" xfId="184"/>
    <cellStyle name="_Расчет RAB_22072008_INVEST.EE.PLAN.4.78(v0.3)" xfId="185"/>
    <cellStyle name="_Расчет RAB_22072008_INVEST.PLAN.4.78(v0.1)" xfId="186"/>
    <cellStyle name="_Расчет RAB_22072008_INVEST.WARM.PLAN.4.78(v0.1)" xfId="187"/>
    <cellStyle name="_Расчет RAB_22072008_INVEST_WARM_PLAN" xfId="188"/>
    <cellStyle name="_Расчет RAB_22072008_NADB.JNVLS.APTEKA.2011(v1.3.3)" xfId="189"/>
    <cellStyle name="_Расчет RAB_22072008_NADB.JNVLS.APTEKA.2011(v1.3.3)_INDEX.STATION.2012(v1.0)_" xfId="190"/>
    <cellStyle name="_Расчет RAB_22072008_NADB.JNVLS.APTEKA.2011(v1.3.3)_INDEX.STATION.2012(v2.0)" xfId="191"/>
    <cellStyle name="_Расчет RAB_22072008_NADB.JNVLS.APTEKA.2011(v1.3.4)" xfId="192"/>
    <cellStyle name="_Расчет RAB_22072008_NADB.JNVLS.APTEKA.2011(v1.3.4)_INDEX.STATION.2012(v1.0)_" xfId="193"/>
    <cellStyle name="_Расчет RAB_22072008_NADB.JNVLS.APTEKA.2011(v1.3.4)_INDEX.STATION.2012(v2.0)" xfId="194"/>
    <cellStyle name="_Расчет RAB_22072008_PR.PROG.WARM.NOTCOMBI.2012.2.16_v1.4(04.04.11) " xfId="195"/>
    <cellStyle name="_Расчет RAB_22072008_PREDEL.JKH.UTV.2011(v1.0.1)" xfId="196"/>
    <cellStyle name="_Расчет RAB_22072008_PREDEL.JKH.UTV.2011(v1.0.1)_INDEX.STATION.2012(v1.0)_" xfId="197"/>
    <cellStyle name="_Расчет RAB_22072008_PREDEL.JKH.UTV.2011(v1.0.1)_INDEX.STATION.2012(v2.0)" xfId="198"/>
    <cellStyle name="_Расчет RAB_22072008_TEST.TEMPLATE" xfId="199"/>
    <cellStyle name="_Расчет RAB_22072008_UPDATE.46EE.2011.TO.1.1" xfId="200"/>
    <cellStyle name="_Расчет RAB_22072008_UPDATE.BALANCE.WARM.2011YEAR.TO.1.1" xfId="201"/>
    <cellStyle name="_Расчет RAB_22072008_UPDATE.BALANCE.WARM.2011YEAR.TO.1.1_INDEX.STATION.2012(v1.0)_" xfId="202"/>
    <cellStyle name="_Расчет RAB_22072008_UPDATE.BALANCE.WARM.2011YEAR.TO.1.1_INDEX.STATION.2012(v2.0)" xfId="203"/>
    <cellStyle name="_Расчет RAB_22072008_UPDATE.BALANCE.WARM.2011YEAR.TO.1.1_OREP.KU.2011.MONTHLY.02(v1.1)" xfId="204"/>
    <cellStyle name="_Расчет RAB_22072008_UPDATE.JKH.OPEN.INFO.TARIFF.HVS.TO.4.3.64" xfId="205"/>
    <cellStyle name="_Расчет RAB_22072008_Книга2_PR.PROG.WARM.NOTCOMBI.2012.2.16_v1.4(04.04.11) " xfId="206"/>
    <cellStyle name="_Расчет RAB_Лен и МОЭСК_с 2010 года_14.04.2009_со сглаж_version 3.0_без ФСК" xfId="207"/>
    <cellStyle name="_Расчет RAB_Лен и МОЭСК_с 2010 года_14.04.2009_со сглаж_version 3.0_без ФСК 2" xfId="208"/>
    <cellStyle name="_Расчет RAB_Лен и МОЭСК_с 2010 года_14.04.2009_со сглаж_version 3.0_без ФСК 2_OREP.KU.2011.MONTHLY.02(v0.1)" xfId="209"/>
    <cellStyle name="_Расчет RAB_Лен и МОЭСК_с 2010 года_14.04.2009_со сглаж_version 3.0_без ФСК 2_OREP.KU.2011.MONTHLY.02(v0.4)" xfId="210"/>
    <cellStyle name="_Расчет RAB_Лен и МОЭСК_с 2010 года_14.04.2009_со сглаж_version 3.0_без ФСК 2_OREP.KU.2011.MONTHLY.11(v1.4)" xfId="211"/>
    <cellStyle name="_Расчет RAB_Лен и МОЭСК_с 2010 года_14.04.2009_со сглаж_version 3.0_без ФСК 2_UPDATE.OREP.KU.2011.MONTHLY.02.TO.1.2" xfId="212"/>
    <cellStyle name="_Расчет RAB_Лен и МОЭСК_с 2010 года_14.04.2009_со сглаж_version 3.0_без ФСК_46EE.2011(v1.0)" xfId="213"/>
    <cellStyle name="_Расчет RAB_Лен и МОЭСК_с 2010 года_14.04.2009_со сглаж_version 3.0_без ФСК_46EE.2011(v1.0)_INDEX.STATION.2012(v1.0)_" xfId="214"/>
    <cellStyle name="_Расчет RAB_Лен и МОЭСК_с 2010 года_14.04.2009_со сглаж_version 3.0_без ФСК_46EE.2011(v1.0)_INDEX.STATION.2012(v2.0)" xfId="215"/>
    <cellStyle name="_Расчет RAB_Лен и МОЭСК_с 2010 года_14.04.2009_со сглаж_version 3.0_без ФСК_ARMRAZR" xfId="216"/>
    <cellStyle name="_Расчет RAB_Лен и МОЭСК_с 2010 года_14.04.2009_со сглаж_version 3.0_без ФСК_BALANCE.WARM.2011YEAR.NEW.UPDATE.SCHEME" xfId="217"/>
    <cellStyle name="_Расчет RAB_Лен и МОЭСК_с 2010 года_14.04.2009_со сглаж_version 3.0_без ФСК_EE.2REK.P2011.4.78(v0.3)" xfId="218"/>
    <cellStyle name="_Расчет RAB_Лен и МОЭСК_с 2010 года_14.04.2009_со сглаж_version 3.0_без ФСК_INVEST.EE.PLAN.4.78(v0.1)" xfId="219"/>
    <cellStyle name="_Расчет RAB_Лен и МОЭСК_с 2010 года_14.04.2009_со сглаж_version 3.0_без ФСК_INVEST.EE.PLAN.4.78(v0.3)" xfId="220"/>
    <cellStyle name="_Расчет RAB_Лен и МОЭСК_с 2010 года_14.04.2009_со сглаж_version 3.0_без ФСК_INVEST.PLAN.4.78(v0.1)" xfId="221"/>
    <cellStyle name="_Расчет RAB_Лен и МОЭСК_с 2010 года_14.04.2009_со сглаж_version 3.0_без ФСК_INVEST.WARM.PLAN.4.78(v0.1)" xfId="222"/>
    <cellStyle name="_Расчет RAB_Лен и МОЭСК_с 2010 года_14.04.2009_со сглаж_version 3.0_без ФСК_INVEST_WARM_PLAN" xfId="223"/>
    <cellStyle name="_Расчет RAB_Лен и МОЭСК_с 2010 года_14.04.2009_со сглаж_version 3.0_без ФСК_NADB.JNVLS.APTEKA.2011(v1.3.3)" xfId="224"/>
    <cellStyle name="_Расчет RAB_Лен и МОЭСК_с 2010 года_14.04.2009_со сглаж_version 3.0_без ФСК_NADB.JNVLS.APTEKA.2011(v1.3.3)_INDEX.STATION.2012(v1.0)_" xfId="225"/>
    <cellStyle name="_Расчет RAB_Лен и МОЭСК_с 2010 года_14.04.2009_со сглаж_version 3.0_без ФСК_NADB.JNVLS.APTEKA.2011(v1.3.3)_INDEX.STATION.2012(v2.0)" xfId="226"/>
    <cellStyle name="_Расчет RAB_Лен и МОЭСК_с 2010 года_14.04.2009_со сглаж_version 3.0_без ФСК_NADB.JNVLS.APTEKA.2011(v1.3.4)" xfId="227"/>
    <cellStyle name="_Расчет RAB_Лен и МОЭСК_с 2010 года_14.04.2009_со сглаж_version 3.0_без ФСК_NADB.JNVLS.APTEKA.2011(v1.3.4)_INDEX.STATION.2012(v1.0)_" xfId="228"/>
    <cellStyle name="_Расчет RAB_Лен и МОЭСК_с 2010 года_14.04.2009_со сглаж_version 3.0_без ФСК_NADB.JNVLS.APTEKA.2011(v1.3.4)_INDEX.STATION.2012(v2.0)" xfId="229"/>
    <cellStyle name="_Расчет RAB_Лен и МОЭСК_с 2010 года_14.04.2009_со сглаж_version 3.0_без ФСК_PR.PROG.WARM.NOTCOMBI.2012.2.16_v1.4(04.04.11) " xfId="230"/>
    <cellStyle name="_Расчет RAB_Лен и МОЭСК_с 2010 года_14.04.2009_со сглаж_version 3.0_без ФСК_PREDEL.JKH.UTV.2011(v1.0.1)" xfId="231"/>
    <cellStyle name="_Расчет RAB_Лен и МОЭСК_с 2010 года_14.04.2009_со сглаж_version 3.0_без ФСК_PREDEL.JKH.UTV.2011(v1.0.1)_INDEX.STATION.2012(v1.0)_" xfId="232"/>
    <cellStyle name="_Расчет RAB_Лен и МОЭСК_с 2010 года_14.04.2009_со сглаж_version 3.0_без ФСК_PREDEL.JKH.UTV.2011(v1.0.1)_INDEX.STATION.2012(v2.0)" xfId="233"/>
    <cellStyle name="_Расчет RAB_Лен и МОЭСК_с 2010 года_14.04.2009_со сглаж_version 3.0_без ФСК_TEST.TEMPLATE" xfId="234"/>
    <cellStyle name="_Расчет RAB_Лен и МОЭСК_с 2010 года_14.04.2009_со сглаж_version 3.0_без ФСК_UPDATE.46EE.2011.TO.1.1" xfId="235"/>
    <cellStyle name="_Расчет RAB_Лен и МОЭСК_с 2010 года_14.04.2009_со сглаж_version 3.0_без ФСК_UPDATE.BALANCE.WARM.2011YEAR.TO.1.1" xfId="236"/>
    <cellStyle name="_Расчет RAB_Лен и МОЭСК_с 2010 года_14.04.2009_со сглаж_version 3.0_без ФСК_UPDATE.BALANCE.WARM.2011YEAR.TO.1.1_INDEX.STATION.2012(v1.0)_" xfId="237"/>
    <cellStyle name="_Расчет RAB_Лен и МОЭСК_с 2010 года_14.04.2009_со сглаж_version 3.0_без ФСК_UPDATE.BALANCE.WARM.2011YEAR.TO.1.1_INDEX.STATION.2012(v2.0)" xfId="238"/>
    <cellStyle name="_Расчет RAB_Лен и МОЭСК_с 2010 года_14.04.2009_со сглаж_version 3.0_без ФСК_UPDATE.BALANCE.WARM.2011YEAR.TO.1.1_OREP.KU.2011.MONTHLY.02(v1.1)" xfId="239"/>
    <cellStyle name="_Расчет RAB_Лен и МОЭСК_с 2010 года_14.04.2009_со сглаж_version 3.0_без ФСК_UPDATE.JKH.OPEN.INFO.TARIFF.HVS.TO.4.3.64" xfId="240"/>
    <cellStyle name="_Расчет RAB_Лен и МОЭСК_с 2010 года_14.04.2009_со сглаж_version 3.0_без ФСК_Книга2_PR.PROG.WARM.NOTCOMBI.2012.2.16_v1.4(04.04.11) " xfId="241"/>
    <cellStyle name="_Свод по ИПР (2)" xfId="242"/>
    <cellStyle name="_Справочник затрат_ЛХ_20.10.05" xfId="243"/>
    <cellStyle name="_таблицы для расчетов28-04-08_2006-2009_прибыль корр_по ИА" xfId="244"/>
    <cellStyle name="_таблицы для расчетов28-04-08_2006-2009с ИА" xfId="245"/>
    <cellStyle name="_Форма 6  РТК.xls(отчет по Адр пр. ЛО)" xfId="246"/>
    <cellStyle name="_Формат разбивки по МРСК_РСК" xfId="247"/>
    <cellStyle name="_Формат_для Согласования" xfId="248"/>
    <cellStyle name="_ХХХ Прил 2 Формы бюджетных документов 2007" xfId="249"/>
    <cellStyle name="_экон.форм-т ВО 1 с разбивкой" xfId="250"/>
    <cellStyle name="’К‰Э [0.00]" xfId="251"/>
    <cellStyle name="”€ќђќ‘ћ‚›‰" xfId="252"/>
    <cellStyle name="”€љ‘€ђћ‚ђќќ›‰" xfId="253"/>
    <cellStyle name="”ќђќ‘ћ‚›‰" xfId="254"/>
    <cellStyle name="”љ‘ђћ‚ђќќ›‰" xfId="255"/>
    <cellStyle name="„…ќ…†ќ›‰" xfId="256"/>
    <cellStyle name="€’ћѓћ‚›‰" xfId="257"/>
    <cellStyle name="‡ђѓћ‹ћ‚ћљ1" xfId="258"/>
    <cellStyle name="‡ђѓћ‹ћ‚ћљ2" xfId="259"/>
    <cellStyle name="’ћѓћ‚›‰" xfId="260"/>
    <cellStyle name="1Normal" xfId="261"/>
    <cellStyle name="20% - Accent1" xfId="262"/>
    <cellStyle name="20% - Accent1 2" xfId="263"/>
    <cellStyle name="20% - Accent1 2 2" xfId="264"/>
    <cellStyle name="20% - Accent1 3" xfId="265"/>
    <cellStyle name="20% - Accent1_46EE.2011(v1.0)" xfId="266"/>
    <cellStyle name="20% - Accent2" xfId="267"/>
    <cellStyle name="20% - Accent2 2" xfId="268"/>
    <cellStyle name="20% - Accent2 2 2" xfId="269"/>
    <cellStyle name="20% - Accent2 3" xfId="270"/>
    <cellStyle name="20% - Accent2_46EE.2011(v1.0)" xfId="271"/>
    <cellStyle name="20% - Accent3" xfId="272"/>
    <cellStyle name="20% - Accent3 2" xfId="273"/>
    <cellStyle name="20% - Accent3 2 2" xfId="274"/>
    <cellStyle name="20% - Accent3 3" xfId="275"/>
    <cellStyle name="20% - Accent3_46EE.2011(v1.0)" xfId="276"/>
    <cellStyle name="20% - Accent4" xfId="277"/>
    <cellStyle name="20% - Accent4 2" xfId="278"/>
    <cellStyle name="20% - Accent4 2 2" xfId="279"/>
    <cellStyle name="20% - Accent4 3" xfId="280"/>
    <cellStyle name="20% - Accent4_46EE.2011(v1.0)" xfId="281"/>
    <cellStyle name="20% - Accent5" xfId="282"/>
    <cellStyle name="20% - Accent5 2" xfId="283"/>
    <cellStyle name="20% - Accent5 2 2" xfId="284"/>
    <cellStyle name="20% - Accent5 3" xfId="285"/>
    <cellStyle name="20% - Accent5_46EE.2011(v1.0)" xfId="286"/>
    <cellStyle name="20% - Accent6" xfId="287"/>
    <cellStyle name="20% - Accent6 2" xfId="288"/>
    <cellStyle name="20% - Accent6 2 2" xfId="289"/>
    <cellStyle name="20% - Accent6 3" xfId="290"/>
    <cellStyle name="20% - Accent6_46EE.2011(v1.0)" xfId="291"/>
    <cellStyle name="20% — акцент1" xfId="292"/>
    <cellStyle name="20% - Акцент1 10" xfId="293"/>
    <cellStyle name="20% - Акцент1 2" xfId="294"/>
    <cellStyle name="20% - Акцент1 2 2" xfId="295"/>
    <cellStyle name="20% - Акцент1 2 2 2" xfId="296"/>
    <cellStyle name="20% - Акцент1 2 3" xfId="297"/>
    <cellStyle name="20% - Акцент1 2_46EE.2011(v1.0)" xfId="298"/>
    <cellStyle name="20% - Акцент1 3" xfId="299"/>
    <cellStyle name="20% - Акцент1 3 2" xfId="300"/>
    <cellStyle name="20% - Акцент1 3 2 2" xfId="301"/>
    <cellStyle name="20% - Акцент1 3 3" xfId="302"/>
    <cellStyle name="20% - Акцент1 3_46EE.2011(v1.0)" xfId="303"/>
    <cellStyle name="20% - Акцент1 4" xfId="304"/>
    <cellStyle name="20% - Акцент1 4 2" xfId="305"/>
    <cellStyle name="20% - Акцент1 4 2 2" xfId="306"/>
    <cellStyle name="20% - Акцент1 4 3" xfId="307"/>
    <cellStyle name="20% - Акцент1 4_46EE.2011(v1.0)" xfId="308"/>
    <cellStyle name="20% - Акцент1 5" xfId="309"/>
    <cellStyle name="20% - Акцент1 5 2" xfId="310"/>
    <cellStyle name="20% - Акцент1 5 2 2" xfId="311"/>
    <cellStyle name="20% - Акцент1 5 3" xfId="312"/>
    <cellStyle name="20% - Акцент1 5_46EE.2011(v1.0)" xfId="313"/>
    <cellStyle name="20% - Акцент1 6" xfId="314"/>
    <cellStyle name="20% - Акцент1 6 2" xfId="315"/>
    <cellStyle name="20% - Акцент1 6 2 2" xfId="316"/>
    <cellStyle name="20% - Акцент1 6 3" xfId="317"/>
    <cellStyle name="20% - Акцент1 6_46EE.2011(v1.0)" xfId="318"/>
    <cellStyle name="20% - Акцент1 7" xfId="319"/>
    <cellStyle name="20% - Акцент1 7 2" xfId="320"/>
    <cellStyle name="20% - Акцент1 7 2 2" xfId="321"/>
    <cellStyle name="20% - Акцент1 7 3" xfId="322"/>
    <cellStyle name="20% - Акцент1 7_46EE.2011(v1.0)" xfId="323"/>
    <cellStyle name="20% - Акцент1 8" xfId="324"/>
    <cellStyle name="20% - Акцент1 8 2" xfId="325"/>
    <cellStyle name="20% - Акцент1 8 2 2" xfId="326"/>
    <cellStyle name="20% - Акцент1 8 3" xfId="327"/>
    <cellStyle name="20% - Акцент1 8_46EE.2011(v1.0)" xfId="328"/>
    <cellStyle name="20% - Акцент1 9" xfId="329"/>
    <cellStyle name="20% - Акцент1 9 2" xfId="330"/>
    <cellStyle name="20% - Акцент1 9 2 2" xfId="331"/>
    <cellStyle name="20% - Акцент1 9 3" xfId="332"/>
    <cellStyle name="20% - Акцент1 9_46EE.2011(v1.0)" xfId="333"/>
    <cellStyle name="20% — акцент2" xfId="334"/>
    <cellStyle name="20% - Акцент2 10" xfId="335"/>
    <cellStyle name="20% - Акцент2 2" xfId="336"/>
    <cellStyle name="20% - Акцент2 2 2" xfId="337"/>
    <cellStyle name="20% - Акцент2 2 2 2" xfId="338"/>
    <cellStyle name="20% - Акцент2 2 3" xfId="339"/>
    <cellStyle name="20% - Акцент2 2_46EE.2011(v1.0)" xfId="340"/>
    <cellStyle name="20% - Акцент2 3" xfId="341"/>
    <cellStyle name="20% - Акцент2 3 2" xfId="342"/>
    <cellStyle name="20% - Акцент2 3 2 2" xfId="343"/>
    <cellStyle name="20% - Акцент2 3 3" xfId="344"/>
    <cellStyle name="20% - Акцент2 3_46EE.2011(v1.0)" xfId="345"/>
    <cellStyle name="20% - Акцент2 4" xfId="346"/>
    <cellStyle name="20% - Акцент2 4 2" xfId="347"/>
    <cellStyle name="20% - Акцент2 4 2 2" xfId="348"/>
    <cellStyle name="20% - Акцент2 4 3" xfId="349"/>
    <cellStyle name="20% - Акцент2 4_46EE.2011(v1.0)" xfId="350"/>
    <cellStyle name="20% - Акцент2 5" xfId="351"/>
    <cellStyle name="20% - Акцент2 5 2" xfId="352"/>
    <cellStyle name="20% - Акцент2 5 2 2" xfId="353"/>
    <cellStyle name="20% - Акцент2 5 3" xfId="354"/>
    <cellStyle name="20% - Акцент2 5_46EE.2011(v1.0)" xfId="355"/>
    <cellStyle name="20% - Акцент2 6" xfId="356"/>
    <cellStyle name="20% - Акцент2 6 2" xfId="357"/>
    <cellStyle name="20% - Акцент2 6 2 2" xfId="358"/>
    <cellStyle name="20% - Акцент2 6 3" xfId="359"/>
    <cellStyle name="20% - Акцент2 6_46EE.2011(v1.0)" xfId="360"/>
    <cellStyle name="20% - Акцент2 7" xfId="361"/>
    <cellStyle name="20% - Акцент2 7 2" xfId="362"/>
    <cellStyle name="20% - Акцент2 7 2 2" xfId="363"/>
    <cellStyle name="20% - Акцент2 7 3" xfId="364"/>
    <cellStyle name="20% - Акцент2 7_46EE.2011(v1.0)" xfId="365"/>
    <cellStyle name="20% - Акцент2 8" xfId="366"/>
    <cellStyle name="20% - Акцент2 8 2" xfId="367"/>
    <cellStyle name="20% - Акцент2 8 2 2" xfId="368"/>
    <cellStyle name="20% - Акцент2 8 3" xfId="369"/>
    <cellStyle name="20% - Акцент2 8_46EE.2011(v1.0)" xfId="370"/>
    <cellStyle name="20% - Акцент2 9" xfId="371"/>
    <cellStyle name="20% - Акцент2 9 2" xfId="372"/>
    <cellStyle name="20% - Акцент2 9 2 2" xfId="373"/>
    <cellStyle name="20% - Акцент2 9 3" xfId="374"/>
    <cellStyle name="20% - Акцент2 9_46EE.2011(v1.0)" xfId="375"/>
    <cellStyle name="20% — акцент3" xfId="376"/>
    <cellStyle name="20% - Акцент3 10" xfId="377"/>
    <cellStyle name="20% - Акцент3 2" xfId="378"/>
    <cellStyle name="20% - Акцент3 2 2" xfId="379"/>
    <cellStyle name="20% - Акцент3 2 2 2" xfId="380"/>
    <cellStyle name="20% - Акцент3 2 3" xfId="381"/>
    <cellStyle name="20% - Акцент3 2_46EE.2011(v1.0)" xfId="382"/>
    <cellStyle name="20% - Акцент3 3" xfId="383"/>
    <cellStyle name="20% - Акцент3 3 2" xfId="384"/>
    <cellStyle name="20% - Акцент3 3 2 2" xfId="385"/>
    <cellStyle name="20% - Акцент3 3 3" xfId="386"/>
    <cellStyle name="20% - Акцент3 3_46EE.2011(v1.0)" xfId="387"/>
    <cellStyle name="20% - Акцент3 4" xfId="388"/>
    <cellStyle name="20% - Акцент3 4 2" xfId="389"/>
    <cellStyle name="20% - Акцент3 4 2 2" xfId="390"/>
    <cellStyle name="20% - Акцент3 4 3" xfId="391"/>
    <cellStyle name="20% - Акцент3 4_46EE.2011(v1.0)" xfId="392"/>
    <cellStyle name="20% - Акцент3 5" xfId="393"/>
    <cellStyle name="20% - Акцент3 5 2" xfId="394"/>
    <cellStyle name="20% - Акцент3 5 2 2" xfId="395"/>
    <cellStyle name="20% - Акцент3 5 3" xfId="396"/>
    <cellStyle name="20% - Акцент3 5_46EE.2011(v1.0)" xfId="397"/>
    <cellStyle name="20% - Акцент3 6" xfId="398"/>
    <cellStyle name="20% - Акцент3 6 2" xfId="399"/>
    <cellStyle name="20% - Акцент3 6 2 2" xfId="400"/>
    <cellStyle name="20% - Акцент3 6 3" xfId="401"/>
    <cellStyle name="20% - Акцент3 6_46EE.2011(v1.0)" xfId="402"/>
    <cellStyle name="20% - Акцент3 7" xfId="403"/>
    <cellStyle name="20% - Акцент3 7 2" xfId="404"/>
    <cellStyle name="20% - Акцент3 7 2 2" xfId="405"/>
    <cellStyle name="20% - Акцент3 7 3" xfId="406"/>
    <cellStyle name="20% - Акцент3 7_46EE.2011(v1.0)" xfId="407"/>
    <cellStyle name="20% - Акцент3 8" xfId="408"/>
    <cellStyle name="20% - Акцент3 8 2" xfId="409"/>
    <cellStyle name="20% - Акцент3 8 2 2" xfId="410"/>
    <cellStyle name="20% - Акцент3 8 3" xfId="411"/>
    <cellStyle name="20% - Акцент3 8_46EE.2011(v1.0)" xfId="412"/>
    <cellStyle name="20% - Акцент3 9" xfId="413"/>
    <cellStyle name="20% - Акцент3 9 2" xfId="414"/>
    <cellStyle name="20% - Акцент3 9 2 2" xfId="415"/>
    <cellStyle name="20% - Акцент3 9 3" xfId="416"/>
    <cellStyle name="20% - Акцент3 9_46EE.2011(v1.0)" xfId="417"/>
    <cellStyle name="20% — акцент4" xfId="418"/>
    <cellStyle name="20% - Акцент4 10" xfId="419"/>
    <cellStyle name="20% - Акцент4 2" xfId="420"/>
    <cellStyle name="20% - Акцент4 2 2" xfId="421"/>
    <cellStyle name="20% - Акцент4 2 2 2" xfId="422"/>
    <cellStyle name="20% - Акцент4 2 3" xfId="423"/>
    <cellStyle name="20% - Акцент4 2_46EE.2011(v1.0)" xfId="424"/>
    <cellStyle name="20% - Акцент4 3" xfId="425"/>
    <cellStyle name="20% - Акцент4 3 2" xfId="426"/>
    <cellStyle name="20% - Акцент4 3 2 2" xfId="427"/>
    <cellStyle name="20% - Акцент4 3 3" xfId="428"/>
    <cellStyle name="20% - Акцент4 3_46EE.2011(v1.0)" xfId="429"/>
    <cellStyle name="20% - Акцент4 4" xfId="430"/>
    <cellStyle name="20% - Акцент4 4 2" xfId="431"/>
    <cellStyle name="20% - Акцент4 4 2 2" xfId="432"/>
    <cellStyle name="20% - Акцент4 4 3" xfId="433"/>
    <cellStyle name="20% - Акцент4 4_46EE.2011(v1.0)" xfId="434"/>
    <cellStyle name="20% - Акцент4 5" xfId="435"/>
    <cellStyle name="20% - Акцент4 5 2" xfId="436"/>
    <cellStyle name="20% - Акцент4 5 2 2" xfId="437"/>
    <cellStyle name="20% - Акцент4 5 3" xfId="438"/>
    <cellStyle name="20% - Акцент4 5_46EE.2011(v1.0)" xfId="439"/>
    <cellStyle name="20% - Акцент4 6" xfId="440"/>
    <cellStyle name="20% - Акцент4 6 2" xfId="441"/>
    <cellStyle name="20% - Акцент4 6 2 2" xfId="442"/>
    <cellStyle name="20% - Акцент4 6 3" xfId="443"/>
    <cellStyle name="20% - Акцент4 6_46EE.2011(v1.0)" xfId="444"/>
    <cellStyle name="20% - Акцент4 7" xfId="445"/>
    <cellStyle name="20% - Акцент4 7 2" xfId="446"/>
    <cellStyle name="20% - Акцент4 7 2 2" xfId="447"/>
    <cellStyle name="20% - Акцент4 7 3" xfId="448"/>
    <cellStyle name="20% - Акцент4 7_46EE.2011(v1.0)" xfId="449"/>
    <cellStyle name="20% - Акцент4 8" xfId="450"/>
    <cellStyle name="20% - Акцент4 8 2" xfId="451"/>
    <cellStyle name="20% - Акцент4 8 2 2" xfId="452"/>
    <cellStyle name="20% - Акцент4 8 3" xfId="453"/>
    <cellStyle name="20% - Акцент4 8_46EE.2011(v1.0)" xfId="454"/>
    <cellStyle name="20% - Акцент4 9" xfId="455"/>
    <cellStyle name="20% - Акцент4 9 2" xfId="456"/>
    <cellStyle name="20% - Акцент4 9 2 2" xfId="457"/>
    <cellStyle name="20% - Акцент4 9 3" xfId="458"/>
    <cellStyle name="20% - Акцент4 9_46EE.2011(v1.0)" xfId="459"/>
    <cellStyle name="20% — акцент5" xfId="460"/>
    <cellStyle name="20% - Акцент5 10" xfId="461"/>
    <cellStyle name="20% - Акцент5 2" xfId="462"/>
    <cellStyle name="20% - Акцент5 2 2" xfId="463"/>
    <cellStyle name="20% - Акцент5 2 2 2" xfId="464"/>
    <cellStyle name="20% - Акцент5 2 3" xfId="465"/>
    <cellStyle name="20% - Акцент5 2_46EE.2011(v1.0)" xfId="466"/>
    <cellStyle name="20% - Акцент5 3" xfId="467"/>
    <cellStyle name="20% - Акцент5 3 2" xfId="468"/>
    <cellStyle name="20% - Акцент5 3 2 2" xfId="469"/>
    <cellStyle name="20% - Акцент5 3 3" xfId="470"/>
    <cellStyle name="20% - Акцент5 3_46EE.2011(v1.0)" xfId="471"/>
    <cellStyle name="20% - Акцент5 4" xfId="472"/>
    <cellStyle name="20% - Акцент5 4 2" xfId="473"/>
    <cellStyle name="20% - Акцент5 4 2 2" xfId="474"/>
    <cellStyle name="20% - Акцент5 4 3" xfId="475"/>
    <cellStyle name="20% - Акцент5 4_46EE.2011(v1.0)" xfId="476"/>
    <cellStyle name="20% - Акцент5 5" xfId="477"/>
    <cellStyle name="20% - Акцент5 5 2" xfId="478"/>
    <cellStyle name="20% - Акцент5 5 2 2" xfId="479"/>
    <cellStyle name="20% - Акцент5 5 3" xfId="480"/>
    <cellStyle name="20% - Акцент5 5_46EE.2011(v1.0)" xfId="481"/>
    <cellStyle name="20% - Акцент5 6" xfId="482"/>
    <cellStyle name="20% - Акцент5 6 2" xfId="483"/>
    <cellStyle name="20% - Акцент5 6 2 2" xfId="484"/>
    <cellStyle name="20% - Акцент5 6 3" xfId="485"/>
    <cellStyle name="20% - Акцент5 6_46EE.2011(v1.0)" xfId="486"/>
    <cellStyle name="20% - Акцент5 7" xfId="487"/>
    <cellStyle name="20% - Акцент5 7 2" xfId="488"/>
    <cellStyle name="20% - Акцент5 7 2 2" xfId="489"/>
    <cellStyle name="20% - Акцент5 7 3" xfId="490"/>
    <cellStyle name="20% - Акцент5 7_46EE.2011(v1.0)" xfId="491"/>
    <cellStyle name="20% - Акцент5 8" xfId="492"/>
    <cellStyle name="20% - Акцент5 8 2" xfId="493"/>
    <cellStyle name="20% - Акцент5 8 2 2" xfId="494"/>
    <cellStyle name="20% - Акцент5 8 3" xfId="495"/>
    <cellStyle name="20% - Акцент5 8_46EE.2011(v1.0)" xfId="496"/>
    <cellStyle name="20% - Акцент5 9" xfId="497"/>
    <cellStyle name="20% - Акцент5 9 2" xfId="498"/>
    <cellStyle name="20% - Акцент5 9 2 2" xfId="499"/>
    <cellStyle name="20% - Акцент5 9 3" xfId="500"/>
    <cellStyle name="20% - Акцент5 9_46EE.2011(v1.0)" xfId="501"/>
    <cellStyle name="20% — акцент6" xfId="502"/>
    <cellStyle name="20% - Акцент6 10" xfId="503"/>
    <cellStyle name="20% - Акцент6 2" xfId="504"/>
    <cellStyle name="20% - Акцент6 2 2" xfId="505"/>
    <cellStyle name="20% - Акцент6 2 2 2" xfId="506"/>
    <cellStyle name="20% - Акцент6 2 3" xfId="507"/>
    <cellStyle name="20% - Акцент6 2_46EE.2011(v1.0)" xfId="508"/>
    <cellStyle name="20% - Акцент6 3" xfId="509"/>
    <cellStyle name="20% - Акцент6 3 2" xfId="510"/>
    <cellStyle name="20% - Акцент6 3 2 2" xfId="511"/>
    <cellStyle name="20% - Акцент6 3 3" xfId="512"/>
    <cellStyle name="20% - Акцент6 3_46EE.2011(v1.0)" xfId="513"/>
    <cellStyle name="20% - Акцент6 4" xfId="514"/>
    <cellStyle name="20% - Акцент6 4 2" xfId="515"/>
    <cellStyle name="20% - Акцент6 4 2 2" xfId="516"/>
    <cellStyle name="20% - Акцент6 4 3" xfId="517"/>
    <cellStyle name="20% - Акцент6 4_46EE.2011(v1.0)" xfId="518"/>
    <cellStyle name="20% - Акцент6 5" xfId="519"/>
    <cellStyle name="20% - Акцент6 5 2" xfId="520"/>
    <cellStyle name="20% - Акцент6 5 2 2" xfId="521"/>
    <cellStyle name="20% - Акцент6 5 3" xfId="522"/>
    <cellStyle name="20% - Акцент6 5_46EE.2011(v1.0)" xfId="523"/>
    <cellStyle name="20% - Акцент6 6" xfId="524"/>
    <cellStyle name="20% - Акцент6 6 2" xfId="525"/>
    <cellStyle name="20% - Акцент6 6 2 2" xfId="526"/>
    <cellStyle name="20% - Акцент6 6 3" xfId="527"/>
    <cellStyle name="20% - Акцент6 6_46EE.2011(v1.0)" xfId="528"/>
    <cellStyle name="20% - Акцент6 7" xfId="529"/>
    <cellStyle name="20% - Акцент6 7 2" xfId="530"/>
    <cellStyle name="20% - Акцент6 7 2 2" xfId="531"/>
    <cellStyle name="20% - Акцент6 7 3" xfId="532"/>
    <cellStyle name="20% - Акцент6 7_46EE.2011(v1.0)" xfId="533"/>
    <cellStyle name="20% - Акцент6 8" xfId="534"/>
    <cellStyle name="20% - Акцент6 8 2" xfId="535"/>
    <cellStyle name="20% - Акцент6 8 2 2" xfId="536"/>
    <cellStyle name="20% - Акцент6 8 3" xfId="537"/>
    <cellStyle name="20% - Акцент6 8_46EE.2011(v1.0)" xfId="538"/>
    <cellStyle name="20% - Акцент6 9" xfId="539"/>
    <cellStyle name="20% - Акцент6 9 2" xfId="540"/>
    <cellStyle name="20% - Акцент6 9 2 2" xfId="541"/>
    <cellStyle name="20% - Акцент6 9 3" xfId="542"/>
    <cellStyle name="20% - Акцент6 9_46EE.2011(v1.0)" xfId="543"/>
    <cellStyle name="40% - Accent1" xfId="544"/>
    <cellStyle name="40% - Accent1 2" xfId="545"/>
    <cellStyle name="40% - Accent1 2 2" xfId="546"/>
    <cellStyle name="40% - Accent1 3" xfId="547"/>
    <cellStyle name="40% - Accent1_46EE.2011(v1.0)" xfId="548"/>
    <cellStyle name="40% - Accent2" xfId="549"/>
    <cellStyle name="40% - Accent2 2" xfId="550"/>
    <cellStyle name="40% - Accent2 2 2" xfId="551"/>
    <cellStyle name="40% - Accent2 3" xfId="552"/>
    <cellStyle name="40% - Accent2_46EE.2011(v1.0)" xfId="553"/>
    <cellStyle name="40% - Accent3" xfId="554"/>
    <cellStyle name="40% - Accent3 2" xfId="555"/>
    <cellStyle name="40% - Accent3 2 2" xfId="556"/>
    <cellStyle name="40% - Accent3 3" xfId="557"/>
    <cellStyle name="40% - Accent3_46EE.2011(v1.0)" xfId="558"/>
    <cellStyle name="40% - Accent4" xfId="559"/>
    <cellStyle name="40% - Accent4 2" xfId="560"/>
    <cellStyle name="40% - Accent4 2 2" xfId="561"/>
    <cellStyle name="40% - Accent4 3" xfId="562"/>
    <cellStyle name="40% - Accent4_46EE.2011(v1.0)" xfId="563"/>
    <cellStyle name="40% - Accent5" xfId="564"/>
    <cellStyle name="40% - Accent5 2" xfId="565"/>
    <cellStyle name="40% - Accent5 2 2" xfId="566"/>
    <cellStyle name="40% - Accent5 3" xfId="567"/>
    <cellStyle name="40% - Accent5_46EE.2011(v1.0)" xfId="568"/>
    <cellStyle name="40% - Accent6" xfId="569"/>
    <cellStyle name="40% - Accent6 2" xfId="570"/>
    <cellStyle name="40% - Accent6 2 2" xfId="571"/>
    <cellStyle name="40% - Accent6 3" xfId="572"/>
    <cellStyle name="40% - Accent6_46EE.2011(v1.0)" xfId="573"/>
    <cellStyle name="40% — акцент1" xfId="574"/>
    <cellStyle name="40% - Акцент1 10" xfId="575"/>
    <cellStyle name="40% - Акцент1 2" xfId="576"/>
    <cellStyle name="40% - Акцент1 2 2" xfId="577"/>
    <cellStyle name="40% - Акцент1 2 2 2" xfId="578"/>
    <cellStyle name="40% - Акцент1 2 3" xfId="579"/>
    <cellStyle name="40% - Акцент1 2_46EE.2011(v1.0)" xfId="580"/>
    <cellStyle name="40% - Акцент1 3" xfId="581"/>
    <cellStyle name="40% - Акцент1 3 2" xfId="582"/>
    <cellStyle name="40% - Акцент1 3 2 2" xfId="583"/>
    <cellStyle name="40% - Акцент1 3 3" xfId="584"/>
    <cellStyle name="40% - Акцент1 3_46EE.2011(v1.0)" xfId="585"/>
    <cellStyle name="40% - Акцент1 4" xfId="586"/>
    <cellStyle name="40% - Акцент1 4 2" xfId="587"/>
    <cellStyle name="40% - Акцент1 4 2 2" xfId="588"/>
    <cellStyle name="40% - Акцент1 4 3" xfId="589"/>
    <cellStyle name="40% - Акцент1 4_46EE.2011(v1.0)" xfId="590"/>
    <cellStyle name="40% - Акцент1 5" xfId="591"/>
    <cellStyle name="40% - Акцент1 5 2" xfId="592"/>
    <cellStyle name="40% - Акцент1 5 2 2" xfId="593"/>
    <cellStyle name="40% - Акцент1 5 3" xfId="594"/>
    <cellStyle name="40% - Акцент1 5_46EE.2011(v1.0)" xfId="595"/>
    <cellStyle name="40% - Акцент1 6" xfId="596"/>
    <cellStyle name="40% - Акцент1 6 2" xfId="597"/>
    <cellStyle name="40% - Акцент1 6 2 2" xfId="598"/>
    <cellStyle name="40% - Акцент1 6 3" xfId="599"/>
    <cellStyle name="40% - Акцент1 6_46EE.2011(v1.0)" xfId="600"/>
    <cellStyle name="40% - Акцент1 7" xfId="601"/>
    <cellStyle name="40% - Акцент1 7 2" xfId="602"/>
    <cellStyle name="40% - Акцент1 7 2 2" xfId="603"/>
    <cellStyle name="40% - Акцент1 7 3" xfId="604"/>
    <cellStyle name="40% - Акцент1 7_46EE.2011(v1.0)" xfId="605"/>
    <cellStyle name="40% - Акцент1 8" xfId="606"/>
    <cellStyle name="40% - Акцент1 8 2" xfId="607"/>
    <cellStyle name="40% - Акцент1 8 2 2" xfId="608"/>
    <cellStyle name="40% - Акцент1 8 3" xfId="609"/>
    <cellStyle name="40% - Акцент1 8_46EE.2011(v1.0)" xfId="610"/>
    <cellStyle name="40% - Акцент1 9" xfId="611"/>
    <cellStyle name="40% - Акцент1 9 2" xfId="612"/>
    <cellStyle name="40% - Акцент1 9 2 2" xfId="613"/>
    <cellStyle name="40% - Акцент1 9 3" xfId="614"/>
    <cellStyle name="40% - Акцент1 9_46EE.2011(v1.0)" xfId="615"/>
    <cellStyle name="40% — акцент2" xfId="616"/>
    <cellStyle name="40% - Акцент2 10" xfId="617"/>
    <cellStyle name="40% - Акцент2 2" xfId="618"/>
    <cellStyle name="40% - Акцент2 2 2" xfId="619"/>
    <cellStyle name="40% - Акцент2 2 2 2" xfId="620"/>
    <cellStyle name="40% - Акцент2 2 3" xfId="621"/>
    <cellStyle name="40% - Акцент2 2_46EE.2011(v1.0)" xfId="622"/>
    <cellStyle name="40% - Акцент2 3" xfId="623"/>
    <cellStyle name="40% - Акцент2 3 2" xfId="624"/>
    <cellStyle name="40% - Акцент2 3 2 2" xfId="625"/>
    <cellStyle name="40% - Акцент2 3 3" xfId="626"/>
    <cellStyle name="40% - Акцент2 3_46EE.2011(v1.0)" xfId="627"/>
    <cellStyle name="40% - Акцент2 4" xfId="628"/>
    <cellStyle name="40% - Акцент2 4 2" xfId="629"/>
    <cellStyle name="40% - Акцент2 4 2 2" xfId="630"/>
    <cellStyle name="40% - Акцент2 4 3" xfId="631"/>
    <cellStyle name="40% - Акцент2 4_46EE.2011(v1.0)" xfId="632"/>
    <cellStyle name="40% - Акцент2 5" xfId="633"/>
    <cellStyle name="40% - Акцент2 5 2" xfId="634"/>
    <cellStyle name="40% - Акцент2 5 2 2" xfId="635"/>
    <cellStyle name="40% - Акцент2 5 3" xfId="636"/>
    <cellStyle name="40% - Акцент2 5_46EE.2011(v1.0)" xfId="637"/>
    <cellStyle name="40% - Акцент2 6" xfId="638"/>
    <cellStyle name="40% - Акцент2 6 2" xfId="639"/>
    <cellStyle name="40% - Акцент2 6 2 2" xfId="640"/>
    <cellStyle name="40% - Акцент2 6 3" xfId="641"/>
    <cellStyle name="40% - Акцент2 6_46EE.2011(v1.0)" xfId="642"/>
    <cellStyle name="40% - Акцент2 7" xfId="643"/>
    <cellStyle name="40% - Акцент2 7 2" xfId="644"/>
    <cellStyle name="40% - Акцент2 7 2 2" xfId="645"/>
    <cellStyle name="40% - Акцент2 7 3" xfId="646"/>
    <cellStyle name="40% - Акцент2 7_46EE.2011(v1.0)" xfId="647"/>
    <cellStyle name="40% - Акцент2 8" xfId="648"/>
    <cellStyle name="40% - Акцент2 8 2" xfId="649"/>
    <cellStyle name="40% - Акцент2 8 2 2" xfId="650"/>
    <cellStyle name="40% - Акцент2 8 3" xfId="651"/>
    <cellStyle name="40% - Акцент2 8_46EE.2011(v1.0)" xfId="652"/>
    <cellStyle name="40% - Акцент2 9" xfId="653"/>
    <cellStyle name="40% - Акцент2 9 2" xfId="654"/>
    <cellStyle name="40% - Акцент2 9 2 2" xfId="655"/>
    <cellStyle name="40% - Акцент2 9 3" xfId="656"/>
    <cellStyle name="40% - Акцент2 9_46EE.2011(v1.0)" xfId="657"/>
    <cellStyle name="40% — акцент3" xfId="658"/>
    <cellStyle name="40% - Акцент3 10" xfId="659"/>
    <cellStyle name="40% - Акцент3 2" xfId="660"/>
    <cellStyle name="40% - Акцент3 2 2" xfId="661"/>
    <cellStyle name="40% - Акцент3 2 2 2" xfId="662"/>
    <cellStyle name="40% - Акцент3 2 3" xfId="663"/>
    <cellStyle name="40% - Акцент3 2_46EE.2011(v1.0)" xfId="664"/>
    <cellStyle name="40% - Акцент3 3" xfId="665"/>
    <cellStyle name="40% - Акцент3 3 2" xfId="666"/>
    <cellStyle name="40% - Акцент3 3 2 2" xfId="667"/>
    <cellStyle name="40% - Акцент3 3 3" xfId="668"/>
    <cellStyle name="40% - Акцент3 3_46EE.2011(v1.0)" xfId="669"/>
    <cellStyle name="40% - Акцент3 4" xfId="670"/>
    <cellStyle name="40% - Акцент3 4 2" xfId="671"/>
    <cellStyle name="40% - Акцент3 4 2 2" xfId="672"/>
    <cellStyle name="40% - Акцент3 4 3" xfId="673"/>
    <cellStyle name="40% - Акцент3 4_46EE.2011(v1.0)" xfId="674"/>
    <cellStyle name="40% - Акцент3 5" xfId="675"/>
    <cellStyle name="40% - Акцент3 5 2" xfId="676"/>
    <cellStyle name="40% - Акцент3 5 2 2" xfId="677"/>
    <cellStyle name="40% - Акцент3 5 3" xfId="678"/>
    <cellStyle name="40% - Акцент3 5_46EE.2011(v1.0)" xfId="679"/>
    <cellStyle name="40% - Акцент3 6" xfId="680"/>
    <cellStyle name="40% - Акцент3 6 2" xfId="681"/>
    <cellStyle name="40% - Акцент3 6 2 2" xfId="682"/>
    <cellStyle name="40% - Акцент3 6 3" xfId="683"/>
    <cellStyle name="40% - Акцент3 6_46EE.2011(v1.0)" xfId="684"/>
    <cellStyle name="40% - Акцент3 7" xfId="685"/>
    <cellStyle name="40% - Акцент3 7 2" xfId="686"/>
    <cellStyle name="40% - Акцент3 7 2 2" xfId="687"/>
    <cellStyle name="40% - Акцент3 7 3" xfId="688"/>
    <cellStyle name="40% - Акцент3 7_46EE.2011(v1.0)" xfId="689"/>
    <cellStyle name="40% - Акцент3 8" xfId="690"/>
    <cellStyle name="40% - Акцент3 8 2" xfId="691"/>
    <cellStyle name="40% - Акцент3 8 2 2" xfId="692"/>
    <cellStyle name="40% - Акцент3 8 3" xfId="693"/>
    <cellStyle name="40% - Акцент3 8_46EE.2011(v1.0)" xfId="694"/>
    <cellStyle name="40% - Акцент3 9" xfId="695"/>
    <cellStyle name="40% - Акцент3 9 2" xfId="696"/>
    <cellStyle name="40% - Акцент3 9 2 2" xfId="697"/>
    <cellStyle name="40% - Акцент3 9 3" xfId="698"/>
    <cellStyle name="40% - Акцент3 9_46EE.2011(v1.0)" xfId="699"/>
    <cellStyle name="40% — акцент4" xfId="700"/>
    <cellStyle name="40% - Акцент4 10" xfId="701"/>
    <cellStyle name="40% - Акцент4 2" xfId="702"/>
    <cellStyle name="40% - Акцент4 2 2" xfId="703"/>
    <cellStyle name="40% - Акцент4 2 2 2" xfId="704"/>
    <cellStyle name="40% - Акцент4 2 3" xfId="705"/>
    <cellStyle name="40% - Акцент4 2_46EE.2011(v1.0)" xfId="706"/>
    <cellStyle name="40% - Акцент4 3" xfId="707"/>
    <cellStyle name="40% - Акцент4 3 2" xfId="708"/>
    <cellStyle name="40% - Акцент4 3 2 2" xfId="709"/>
    <cellStyle name="40% - Акцент4 3 3" xfId="710"/>
    <cellStyle name="40% - Акцент4 3_46EE.2011(v1.0)" xfId="711"/>
    <cellStyle name="40% - Акцент4 4" xfId="712"/>
    <cellStyle name="40% - Акцент4 4 2" xfId="713"/>
    <cellStyle name="40% - Акцент4 4 2 2" xfId="714"/>
    <cellStyle name="40% - Акцент4 4 3" xfId="715"/>
    <cellStyle name="40% - Акцент4 4_46EE.2011(v1.0)" xfId="716"/>
    <cellStyle name="40% - Акцент4 5" xfId="717"/>
    <cellStyle name="40% - Акцент4 5 2" xfId="718"/>
    <cellStyle name="40% - Акцент4 5 2 2" xfId="719"/>
    <cellStyle name="40% - Акцент4 5 3" xfId="720"/>
    <cellStyle name="40% - Акцент4 5_46EE.2011(v1.0)" xfId="721"/>
    <cellStyle name="40% - Акцент4 6" xfId="722"/>
    <cellStyle name="40% - Акцент4 6 2" xfId="723"/>
    <cellStyle name="40% - Акцент4 6 2 2" xfId="724"/>
    <cellStyle name="40% - Акцент4 6 3" xfId="725"/>
    <cellStyle name="40% - Акцент4 6_46EE.2011(v1.0)" xfId="726"/>
    <cellStyle name="40% - Акцент4 7" xfId="727"/>
    <cellStyle name="40% - Акцент4 7 2" xfId="728"/>
    <cellStyle name="40% - Акцент4 7 2 2" xfId="729"/>
    <cellStyle name="40% - Акцент4 7 3" xfId="730"/>
    <cellStyle name="40% - Акцент4 7_46EE.2011(v1.0)" xfId="731"/>
    <cellStyle name="40% - Акцент4 8" xfId="732"/>
    <cellStyle name="40% - Акцент4 8 2" xfId="733"/>
    <cellStyle name="40% - Акцент4 8 2 2" xfId="734"/>
    <cellStyle name="40% - Акцент4 8 3" xfId="735"/>
    <cellStyle name="40% - Акцент4 8_46EE.2011(v1.0)" xfId="736"/>
    <cellStyle name="40% - Акцент4 9" xfId="737"/>
    <cellStyle name="40% - Акцент4 9 2" xfId="738"/>
    <cellStyle name="40% - Акцент4 9 2 2" xfId="739"/>
    <cellStyle name="40% - Акцент4 9 3" xfId="740"/>
    <cellStyle name="40% - Акцент4 9_46EE.2011(v1.0)" xfId="741"/>
    <cellStyle name="40% — акцент5" xfId="742"/>
    <cellStyle name="40% - Акцент5 10" xfId="743"/>
    <cellStyle name="40% - Акцент5 2" xfId="744"/>
    <cellStyle name="40% - Акцент5 2 2" xfId="745"/>
    <cellStyle name="40% - Акцент5 2 2 2" xfId="746"/>
    <cellStyle name="40% - Акцент5 2 3" xfId="747"/>
    <cellStyle name="40% - Акцент5 2_46EE.2011(v1.0)" xfId="748"/>
    <cellStyle name="40% - Акцент5 3" xfId="749"/>
    <cellStyle name="40% - Акцент5 3 2" xfId="750"/>
    <cellStyle name="40% - Акцент5 3 2 2" xfId="751"/>
    <cellStyle name="40% - Акцент5 3 3" xfId="752"/>
    <cellStyle name="40% - Акцент5 3_46EE.2011(v1.0)" xfId="753"/>
    <cellStyle name="40% - Акцент5 4" xfId="754"/>
    <cellStyle name="40% - Акцент5 4 2" xfId="755"/>
    <cellStyle name="40% - Акцент5 4 2 2" xfId="756"/>
    <cellStyle name="40% - Акцент5 4 3" xfId="757"/>
    <cellStyle name="40% - Акцент5 4_46EE.2011(v1.0)" xfId="758"/>
    <cellStyle name="40% - Акцент5 5" xfId="759"/>
    <cellStyle name="40% - Акцент5 5 2" xfId="760"/>
    <cellStyle name="40% - Акцент5 5 2 2" xfId="761"/>
    <cellStyle name="40% - Акцент5 5 3" xfId="762"/>
    <cellStyle name="40% - Акцент5 5_46EE.2011(v1.0)" xfId="763"/>
    <cellStyle name="40% - Акцент5 6" xfId="764"/>
    <cellStyle name="40% - Акцент5 6 2" xfId="765"/>
    <cellStyle name="40% - Акцент5 6 2 2" xfId="766"/>
    <cellStyle name="40% - Акцент5 6 3" xfId="767"/>
    <cellStyle name="40% - Акцент5 6_46EE.2011(v1.0)" xfId="768"/>
    <cellStyle name="40% - Акцент5 7" xfId="769"/>
    <cellStyle name="40% - Акцент5 7 2" xfId="770"/>
    <cellStyle name="40% - Акцент5 7 2 2" xfId="771"/>
    <cellStyle name="40% - Акцент5 7 3" xfId="772"/>
    <cellStyle name="40% - Акцент5 7_46EE.2011(v1.0)" xfId="773"/>
    <cellStyle name="40% - Акцент5 8" xfId="774"/>
    <cellStyle name="40% - Акцент5 8 2" xfId="775"/>
    <cellStyle name="40% - Акцент5 8 2 2" xfId="776"/>
    <cellStyle name="40% - Акцент5 8 3" xfId="777"/>
    <cellStyle name="40% - Акцент5 8_46EE.2011(v1.0)" xfId="778"/>
    <cellStyle name="40% - Акцент5 9" xfId="779"/>
    <cellStyle name="40% - Акцент5 9 2" xfId="780"/>
    <cellStyle name="40% - Акцент5 9 2 2" xfId="781"/>
    <cellStyle name="40% - Акцент5 9 3" xfId="782"/>
    <cellStyle name="40% - Акцент5 9_46EE.2011(v1.0)" xfId="783"/>
    <cellStyle name="40% — акцент6" xfId="784"/>
    <cellStyle name="40% - Акцент6 10" xfId="785"/>
    <cellStyle name="40% - Акцент6 2" xfId="786"/>
    <cellStyle name="40% - Акцент6 2 2" xfId="787"/>
    <cellStyle name="40% - Акцент6 2 2 2" xfId="788"/>
    <cellStyle name="40% - Акцент6 2 3" xfId="789"/>
    <cellStyle name="40% - Акцент6 2_46EE.2011(v1.0)" xfId="790"/>
    <cellStyle name="40% - Акцент6 3" xfId="791"/>
    <cellStyle name="40% - Акцент6 3 2" xfId="792"/>
    <cellStyle name="40% - Акцент6 3 2 2" xfId="793"/>
    <cellStyle name="40% - Акцент6 3 3" xfId="794"/>
    <cellStyle name="40% - Акцент6 3_46EE.2011(v1.0)" xfId="795"/>
    <cellStyle name="40% - Акцент6 4" xfId="796"/>
    <cellStyle name="40% - Акцент6 4 2" xfId="797"/>
    <cellStyle name="40% - Акцент6 4 2 2" xfId="798"/>
    <cellStyle name="40% - Акцент6 4 3" xfId="799"/>
    <cellStyle name="40% - Акцент6 4_46EE.2011(v1.0)" xfId="800"/>
    <cellStyle name="40% - Акцент6 5" xfId="801"/>
    <cellStyle name="40% - Акцент6 5 2" xfId="802"/>
    <cellStyle name="40% - Акцент6 5 2 2" xfId="803"/>
    <cellStyle name="40% - Акцент6 5 3" xfId="804"/>
    <cellStyle name="40% - Акцент6 5_46EE.2011(v1.0)" xfId="805"/>
    <cellStyle name="40% - Акцент6 6" xfId="806"/>
    <cellStyle name="40% - Акцент6 6 2" xfId="807"/>
    <cellStyle name="40% - Акцент6 6 2 2" xfId="808"/>
    <cellStyle name="40% - Акцент6 6 3" xfId="809"/>
    <cellStyle name="40% - Акцент6 6_46EE.2011(v1.0)" xfId="810"/>
    <cellStyle name="40% - Акцент6 7" xfId="811"/>
    <cellStyle name="40% - Акцент6 7 2" xfId="812"/>
    <cellStyle name="40% - Акцент6 7 2 2" xfId="813"/>
    <cellStyle name="40% - Акцент6 7 3" xfId="814"/>
    <cellStyle name="40% - Акцент6 7_46EE.2011(v1.0)" xfId="815"/>
    <cellStyle name="40% - Акцент6 8" xfId="816"/>
    <cellStyle name="40% - Акцент6 8 2" xfId="817"/>
    <cellStyle name="40% - Акцент6 8 2 2" xfId="818"/>
    <cellStyle name="40% - Акцент6 8 3" xfId="819"/>
    <cellStyle name="40% - Акцент6 8_46EE.2011(v1.0)" xfId="820"/>
    <cellStyle name="40% - Акцент6 9" xfId="821"/>
    <cellStyle name="40% - Акцент6 9 2" xfId="822"/>
    <cellStyle name="40% - Акцент6 9 2 2" xfId="823"/>
    <cellStyle name="40% - Акцент6 9 3" xfId="824"/>
    <cellStyle name="40% - Акцент6 9_46EE.2011(v1.0)" xfId="825"/>
    <cellStyle name="60% - Accent1" xfId="826"/>
    <cellStyle name="60% - Accent2" xfId="827"/>
    <cellStyle name="60% - Accent3" xfId="828"/>
    <cellStyle name="60% - Accent4" xfId="829"/>
    <cellStyle name="60% - Accent5" xfId="830"/>
    <cellStyle name="60% - Accent6" xfId="831"/>
    <cellStyle name="60% — акцент1" xfId="832"/>
    <cellStyle name="60% - Акцент1 10" xfId="833"/>
    <cellStyle name="60% - Акцент1 2" xfId="834"/>
    <cellStyle name="60% - Акцент1 2 2" xfId="835"/>
    <cellStyle name="60% - Акцент1 3" xfId="836"/>
    <cellStyle name="60% - Акцент1 3 2" xfId="837"/>
    <cellStyle name="60% - Акцент1 4" xfId="838"/>
    <cellStyle name="60% - Акцент1 4 2" xfId="839"/>
    <cellStyle name="60% - Акцент1 5" xfId="840"/>
    <cellStyle name="60% - Акцент1 5 2" xfId="841"/>
    <cellStyle name="60% - Акцент1 6" xfId="842"/>
    <cellStyle name="60% - Акцент1 6 2" xfId="843"/>
    <cellStyle name="60% - Акцент1 7" xfId="844"/>
    <cellStyle name="60% - Акцент1 7 2" xfId="845"/>
    <cellStyle name="60% - Акцент1 8" xfId="846"/>
    <cellStyle name="60% - Акцент1 8 2" xfId="847"/>
    <cellStyle name="60% - Акцент1 9" xfId="848"/>
    <cellStyle name="60% - Акцент1 9 2" xfId="849"/>
    <cellStyle name="60% — акцент2" xfId="850"/>
    <cellStyle name="60% - Акцент2 10" xfId="851"/>
    <cellStyle name="60% - Акцент2 2" xfId="852"/>
    <cellStyle name="60% - Акцент2 2 2" xfId="853"/>
    <cellStyle name="60% - Акцент2 3" xfId="854"/>
    <cellStyle name="60% - Акцент2 3 2" xfId="855"/>
    <cellStyle name="60% - Акцент2 4" xfId="856"/>
    <cellStyle name="60% - Акцент2 4 2" xfId="857"/>
    <cellStyle name="60% - Акцент2 5" xfId="858"/>
    <cellStyle name="60% - Акцент2 5 2" xfId="859"/>
    <cellStyle name="60% - Акцент2 6" xfId="860"/>
    <cellStyle name="60% - Акцент2 6 2" xfId="861"/>
    <cellStyle name="60% - Акцент2 7" xfId="862"/>
    <cellStyle name="60% - Акцент2 7 2" xfId="863"/>
    <cellStyle name="60% - Акцент2 8" xfId="864"/>
    <cellStyle name="60% - Акцент2 8 2" xfId="865"/>
    <cellStyle name="60% - Акцент2 9" xfId="866"/>
    <cellStyle name="60% - Акцент2 9 2" xfId="867"/>
    <cellStyle name="60% — акцент3" xfId="868"/>
    <cellStyle name="60% - Акцент3 10" xfId="869"/>
    <cellStyle name="60% - Акцент3 2" xfId="870"/>
    <cellStyle name="60% - Акцент3 2 2" xfId="871"/>
    <cellStyle name="60% - Акцент3 3" xfId="872"/>
    <cellStyle name="60% - Акцент3 3 2" xfId="873"/>
    <cellStyle name="60% - Акцент3 4" xfId="874"/>
    <cellStyle name="60% - Акцент3 4 2" xfId="875"/>
    <cellStyle name="60% - Акцент3 5" xfId="876"/>
    <cellStyle name="60% - Акцент3 5 2" xfId="877"/>
    <cellStyle name="60% - Акцент3 6" xfId="878"/>
    <cellStyle name="60% - Акцент3 6 2" xfId="879"/>
    <cellStyle name="60% - Акцент3 7" xfId="880"/>
    <cellStyle name="60% - Акцент3 7 2" xfId="881"/>
    <cellStyle name="60% - Акцент3 8" xfId="882"/>
    <cellStyle name="60% - Акцент3 8 2" xfId="883"/>
    <cellStyle name="60% - Акцент3 9" xfId="884"/>
    <cellStyle name="60% - Акцент3 9 2" xfId="885"/>
    <cellStyle name="60% — акцент4" xfId="886"/>
    <cellStyle name="60% - Акцент4 10" xfId="887"/>
    <cellStyle name="60% - Акцент4 2" xfId="888"/>
    <cellStyle name="60% - Акцент4 2 2" xfId="889"/>
    <cellStyle name="60% - Акцент4 3" xfId="890"/>
    <cellStyle name="60% - Акцент4 3 2" xfId="891"/>
    <cellStyle name="60% - Акцент4 4" xfId="892"/>
    <cellStyle name="60% - Акцент4 4 2" xfId="893"/>
    <cellStyle name="60% - Акцент4 5" xfId="894"/>
    <cellStyle name="60% - Акцент4 5 2" xfId="895"/>
    <cellStyle name="60% - Акцент4 6" xfId="896"/>
    <cellStyle name="60% - Акцент4 6 2" xfId="897"/>
    <cellStyle name="60% - Акцент4 7" xfId="898"/>
    <cellStyle name="60% - Акцент4 7 2" xfId="899"/>
    <cellStyle name="60% - Акцент4 8" xfId="900"/>
    <cellStyle name="60% - Акцент4 8 2" xfId="901"/>
    <cellStyle name="60% - Акцент4 9" xfId="902"/>
    <cellStyle name="60% - Акцент4 9 2" xfId="903"/>
    <cellStyle name="60% — акцент5" xfId="904"/>
    <cellStyle name="60% - Акцент5 10" xfId="905"/>
    <cellStyle name="60% - Акцент5 2" xfId="906"/>
    <cellStyle name="60% - Акцент5 2 2" xfId="907"/>
    <cellStyle name="60% - Акцент5 3" xfId="908"/>
    <cellStyle name="60% - Акцент5 3 2" xfId="909"/>
    <cellStyle name="60% - Акцент5 4" xfId="910"/>
    <cellStyle name="60% - Акцент5 4 2" xfId="911"/>
    <cellStyle name="60% - Акцент5 5" xfId="912"/>
    <cellStyle name="60% - Акцент5 5 2" xfId="913"/>
    <cellStyle name="60% - Акцент5 6" xfId="914"/>
    <cellStyle name="60% - Акцент5 6 2" xfId="915"/>
    <cellStyle name="60% - Акцент5 7" xfId="916"/>
    <cellStyle name="60% - Акцент5 7 2" xfId="917"/>
    <cellStyle name="60% - Акцент5 8" xfId="918"/>
    <cellStyle name="60% - Акцент5 8 2" xfId="919"/>
    <cellStyle name="60% - Акцент5 9" xfId="920"/>
    <cellStyle name="60% - Акцент5 9 2" xfId="921"/>
    <cellStyle name="60% — акцент6" xfId="922"/>
    <cellStyle name="60% - Акцент6 10" xfId="923"/>
    <cellStyle name="60% - Акцент6 2" xfId="924"/>
    <cellStyle name="60% - Акцент6 2 2" xfId="925"/>
    <cellStyle name="60% - Акцент6 3" xfId="926"/>
    <cellStyle name="60% - Акцент6 3 2" xfId="927"/>
    <cellStyle name="60% - Акцент6 4" xfId="928"/>
    <cellStyle name="60% - Акцент6 4 2" xfId="929"/>
    <cellStyle name="60% - Акцент6 5" xfId="930"/>
    <cellStyle name="60% - Акцент6 5 2" xfId="931"/>
    <cellStyle name="60% - Акцент6 6" xfId="932"/>
    <cellStyle name="60% - Акцент6 6 2" xfId="933"/>
    <cellStyle name="60% - Акцент6 7" xfId="934"/>
    <cellStyle name="60% - Акцент6 7 2" xfId="935"/>
    <cellStyle name="60% - Акцент6 8" xfId="936"/>
    <cellStyle name="60% - Акцент6 8 2" xfId="937"/>
    <cellStyle name="60% - Акцент6 9" xfId="938"/>
    <cellStyle name="60% - Акцент6 9 2" xfId="939"/>
    <cellStyle name="Accent1" xfId="940"/>
    <cellStyle name="Accent2" xfId="941"/>
    <cellStyle name="Accent3" xfId="942"/>
    <cellStyle name="Accent4" xfId="943"/>
    <cellStyle name="Accent5" xfId="944"/>
    <cellStyle name="Accent6" xfId="945"/>
    <cellStyle name="Ăčďĺđńńűëęŕ" xfId="946"/>
    <cellStyle name="Adjustable" xfId="947"/>
    <cellStyle name="AFE" xfId="948"/>
    <cellStyle name="Áĺççŕůčňíűé" xfId="949"/>
    <cellStyle name="Äĺíĺćíűé [0]_(ňŕá 3č)" xfId="950"/>
    <cellStyle name="Äĺíĺćíűé_(ňŕá 3č)" xfId="951"/>
    <cellStyle name="Bad" xfId="952"/>
    <cellStyle name="Best" xfId="953"/>
    <cellStyle name="Blue" xfId="954"/>
    <cellStyle name="Body_$Dollars" xfId="955"/>
    <cellStyle name="Calculation" xfId="956"/>
    <cellStyle name="Cells 2" xfId="957"/>
    <cellStyle name="Check Cell" xfId="958"/>
    <cellStyle name="Chek" xfId="959"/>
    <cellStyle name="Comma [0]_Adjusted FS 1299" xfId="960"/>
    <cellStyle name="Comma 0" xfId="961"/>
    <cellStyle name="Comma 0*" xfId="962"/>
    <cellStyle name="Comma 2" xfId="963"/>
    <cellStyle name="Comma 3*" xfId="964"/>
    <cellStyle name="Comma_Adjusted FS 1299" xfId="965"/>
    <cellStyle name="Comma0" xfId="966"/>
    <cellStyle name="Çŕůčňíűé" xfId="967"/>
    <cellStyle name="Currency [0]" xfId="968"/>
    <cellStyle name="Currency [0] 2" xfId="969"/>
    <cellStyle name="Currency [0] 2 10" xfId="970"/>
    <cellStyle name="Currency [0] 2 11" xfId="971"/>
    <cellStyle name="Currency [0] 2 2" xfId="972"/>
    <cellStyle name="Currency [0] 2 2 2" xfId="973"/>
    <cellStyle name="Currency [0] 2 2 3" xfId="974"/>
    <cellStyle name="Currency [0] 2 2 4" xfId="975"/>
    <cellStyle name="Currency [0] 2 2 5" xfId="976"/>
    <cellStyle name="Currency [0] 2 3" xfId="977"/>
    <cellStyle name="Currency [0] 2 3 2" xfId="978"/>
    <cellStyle name="Currency [0] 2 3 3" xfId="979"/>
    <cellStyle name="Currency [0] 2 3 4" xfId="980"/>
    <cellStyle name="Currency [0] 2 3 5" xfId="981"/>
    <cellStyle name="Currency [0] 2 4" xfId="982"/>
    <cellStyle name="Currency [0] 2 4 2" xfId="983"/>
    <cellStyle name="Currency [0] 2 4 3" xfId="984"/>
    <cellStyle name="Currency [0] 2 4 4" xfId="985"/>
    <cellStyle name="Currency [0] 2 4 5" xfId="986"/>
    <cellStyle name="Currency [0] 2 5" xfId="987"/>
    <cellStyle name="Currency [0] 2 5 2" xfId="988"/>
    <cellStyle name="Currency [0] 2 5 3" xfId="989"/>
    <cellStyle name="Currency [0] 2 5 4" xfId="990"/>
    <cellStyle name="Currency [0] 2 5 5" xfId="991"/>
    <cellStyle name="Currency [0] 2 6" xfId="992"/>
    <cellStyle name="Currency [0] 2 6 2" xfId="993"/>
    <cellStyle name="Currency [0] 2 6 3" xfId="994"/>
    <cellStyle name="Currency [0] 2 6 4" xfId="995"/>
    <cellStyle name="Currency [0] 2 6 5" xfId="996"/>
    <cellStyle name="Currency [0] 2 7" xfId="997"/>
    <cellStyle name="Currency [0] 2 7 2" xfId="998"/>
    <cellStyle name="Currency [0] 2 7 3" xfId="999"/>
    <cellStyle name="Currency [0] 2 7 4" xfId="1000"/>
    <cellStyle name="Currency [0] 2 7 5" xfId="1001"/>
    <cellStyle name="Currency [0] 2 8" xfId="1002"/>
    <cellStyle name="Currency [0] 2 8 2" xfId="1003"/>
    <cellStyle name="Currency [0] 2 8 3" xfId="1004"/>
    <cellStyle name="Currency [0] 2 8 4" xfId="1005"/>
    <cellStyle name="Currency [0] 2 8 5" xfId="1006"/>
    <cellStyle name="Currency [0] 2 9" xfId="1007"/>
    <cellStyle name="Currency [0] 3" xfId="1008"/>
    <cellStyle name="Currency [0] 3 10" xfId="1009"/>
    <cellStyle name="Currency [0] 3 11" xfId="1010"/>
    <cellStyle name="Currency [0] 3 2" xfId="1011"/>
    <cellStyle name="Currency [0] 3 2 2" xfId="1012"/>
    <cellStyle name="Currency [0] 3 2 3" xfId="1013"/>
    <cellStyle name="Currency [0] 3 2 4" xfId="1014"/>
    <cellStyle name="Currency [0] 3 2 5" xfId="1015"/>
    <cellStyle name="Currency [0] 3 3" xfId="1016"/>
    <cellStyle name="Currency [0] 3 3 2" xfId="1017"/>
    <cellStyle name="Currency [0] 3 3 3" xfId="1018"/>
    <cellStyle name="Currency [0] 3 3 4" xfId="1019"/>
    <cellStyle name="Currency [0] 3 3 5" xfId="1020"/>
    <cellStyle name="Currency [0] 3 4" xfId="1021"/>
    <cellStyle name="Currency [0] 3 4 2" xfId="1022"/>
    <cellStyle name="Currency [0] 3 4 3" xfId="1023"/>
    <cellStyle name="Currency [0] 3 4 4" xfId="1024"/>
    <cellStyle name="Currency [0] 3 4 5" xfId="1025"/>
    <cellStyle name="Currency [0] 3 5" xfId="1026"/>
    <cellStyle name="Currency [0] 3 5 2" xfId="1027"/>
    <cellStyle name="Currency [0] 3 5 3" xfId="1028"/>
    <cellStyle name="Currency [0] 3 5 4" xfId="1029"/>
    <cellStyle name="Currency [0] 3 5 5" xfId="1030"/>
    <cellStyle name="Currency [0] 3 6" xfId="1031"/>
    <cellStyle name="Currency [0] 3 6 2" xfId="1032"/>
    <cellStyle name="Currency [0] 3 6 3" xfId="1033"/>
    <cellStyle name="Currency [0] 3 6 4" xfId="1034"/>
    <cellStyle name="Currency [0] 3 6 5" xfId="1035"/>
    <cellStyle name="Currency [0] 3 7" xfId="1036"/>
    <cellStyle name="Currency [0] 3 7 2" xfId="1037"/>
    <cellStyle name="Currency [0] 3 7 3" xfId="1038"/>
    <cellStyle name="Currency [0] 3 7 4" xfId="1039"/>
    <cellStyle name="Currency [0] 3 7 5" xfId="1040"/>
    <cellStyle name="Currency [0] 3 8" xfId="1041"/>
    <cellStyle name="Currency [0] 3 8 2" xfId="1042"/>
    <cellStyle name="Currency [0] 3 8 3" xfId="1043"/>
    <cellStyle name="Currency [0] 3 8 4" xfId="1044"/>
    <cellStyle name="Currency [0] 3 8 5" xfId="1045"/>
    <cellStyle name="Currency [0] 3 9" xfId="1046"/>
    <cellStyle name="Currency [0] 4" xfId="1047"/>
    <cellStyle name="Currency [0] 4 10" xfId="1048"/>
    <cellStyle name="Currency [0] 4 11" xfId="1049"/>
    <cellStyle name="Currency [0] 4 2" xfId="1050"/>
    <cellStyle name="Currency [0] 4 2 2" xfId="1051"/>
    <cellStyle name="Currency [0] 4 2 3" xfId="1052"/>
    <cellStyle name="Currency [0] 4 2 4" xfId="1053"/>
    <cellStyle name="Currency [0] 4 2 5" xfId="1054"/>
    <cellStyle name="Currency [0] 4 3" xfId="1055"/>
    <cellStyle name="Currency [0] 4 3 2" xfId="1056"/>
    <cellStyle name="Currency [0] 4 3 3" xfId="1057"/>
    <cellStyle name="Currency [0] 4 3 4" xfId="1058"/>
    <cellStyle name="Currency [0] 4 3 5" xfId="1059"/>
    <cellStyle name="Currency [0] 4 4" xfId="1060"/>
    <cellStyle name="Currency [0] 4 4 2" xfId="1061"/>
    <cellStyle name="Currency [0] 4 4 3" xfId="1062"/>
    <cellStyle name="Currency [0] 4 4 4" xfId="1063"/>
    <cellStyle name="Currency [0] 4 4 5" xfId="1064"/>
    <cellStyle name="Currency [0] 4 5" xfId="1065"/>
    <cellStyle name="Currency [0] 4 5 2" xfId="1066"/>
    <cellStyle name="Currency [0] 4 5 3" xfId="1067"/>
    <cellStyle name="Currency [0] 4 5 4" xfId="1068"/>
    <cellStyle name="Currency [0] 4 5 5" xfId="1069"/>
    <cellStyle name="Currency [0] 4 6" xfId="1070"/>
    <cellStyle name="Currency [0] 4 6 2" xfId="1071"/>
    <cellStyle name="Currency [0] 4 6 3" xfId="1072"/>
    <cellStyle name="Currency [0] 4 6 4" xfId="1073"/>
    <cellStyle name="Currency [0] 4 6 5" xfId="1074"/>
    <cellStyle name="Currency [0] 4 7" xfId="1075"/>
    <cellStyle name="Currency [0] 4 7 2" xfId="1076"/>
    <cellStyle name="Currency [0] 4 7 3" xfId="1077"/>
    <cellStyle name="Currency [0] 4 7 4" xfId="1078"/>
    <cellStyle name="Currency [0] 4 7 5" xfId="1079"/>
    <cellStyle name="Currency [0] 4 8" xfId="1080"/>
    <cellStyle name="Currency [0] 4 8 2" xfId="1081"/>
    <cellStyle name="Currency [0] 4 8 3" xfId="1082"/>
    <cellStyle name="Currency [0] 4 8 4" xfId="1083"/>
    <cellStyle name="Currency [0] 4 8 5" xfId="1084"/>
    <cellStyle name="Currency [0] 4 9" xfId="1085"/>
    <cellStyle name="Currency [0] 5" xfId="1086"/>
    <cellStyle name="Currency [0] 5 10" xfId="1087"/>
    <cellStyle name="Currency [0] 5 11" xfId="1088"/>
    <cellStyle name="Currency [0] 5 2" xfId="1089"/>
    <cellStyle name="Currency [0] 5 2 2" xfId="1090"/>
    <cellStyle name="Currency [0] 5 2 3" xfId="1091"/>
    <cellStyle name="Currency [0] 5 2 4" xfId="1092"/>
    <cellStyle name="Currency [0] 5 2 5" xfId="1093"/>
    <cellStyle name="Currency [0] 5 3" xfId="1094"/>
    <cellStyle name="Currency [0] 5 3 2" xfId="1095"/>
    <cellStyle name="Currency [0] 5 3 3" xfId="1096"/>
    <cellStyle name="Currency [0] 5 3 4" xfId="1097"/>
    <cellStyle name="Currency [0] 5 3 5" xfId="1098"/>
    <cellStyle name="Currency [0] 5 4" xfId="1099"/>
    <cellStyle name="Currency [0] 5 4 2" xfId="1100"/>
    <cellStyle name="Currency [0] 5 4 3" xfId="1101"/>
    <cellStyle name="Currency [0] 5 4 4" xfId="1102"/>
    <cellStyle name="Currency [0] 5 4 5" xfId="1103"/>
    <cellStyle name="Currency [0] 5 5" xfId="1104"/>
    <cellStyle name="Currency [0] 5 5 2" xfId="1105"/>
    <cellStyle name="Currency [0] 5 5 3" xfId="1106"/>
    <cellStyle name="Currency [0] 5 5 4" xfId="1107"/>
    <cellStyle name="Currency [0] 5 5 5" xfId="1108"/>
    <cellStyle name="Currency [0] 5 6" xfId="1109"/>
    <cellStyle name="Currency [0] 5 6 2" xfId="1110"/>
    <cellStyle name="Currency [0] 5 6 3" xfId="1111"/>
    <cellStyle name="Currency [0] 5 6 4" xfId="1112"/>
    <cellStyle name="Currency [0] 5 6 5" xfId="1113"/>
    <cellStyle name="Currency [0] 5 7" xfId="1114"/>
    <cellStyle name="Currency [0] 5 7 2" xfId="1115"/>
    <cellStyle name="Currency [0] 5 7 3" xfId="1116"/>
    <cellStyle name="Currency [0] 5 7 4" xfId="1117"/>
    <cellStyle name="Currency [0] 5 7 5" xfId="1118"/>
    <cellStyle name="Currency [0] 5 8" xfId="1119"/>
    <cellStyle name="Currency [0] 5 8 2" xfId="1120"/>
    <cellStyle name="Currency [0] 5 8 3" xfId="1121"/>
    <cellStyle name="Currency [0] 5 8 4" xfId="1122"/>
    <cellStyle name="Currency [0] 5 8 5" xfId="1123"/>
    <cellStyle name="Currency [0] 5 9" xfId="1124"/>
    <cellStyle name="Currency [0] 6" xfId="1125"/>
    <cellStyle name="Currency [0] 6 2" xfId="1126"/>
    <cellStyle name="Currency [0] 6 2 2" xfId="1127"/>
    <cellStyle name="Currency [0] 6 3" xfId="1128"/>
    <cellStyle name="Currency [0] 6 4" xfId="1129"/>
    <cellStyle name="Currency [0] 7" xfId="1130"/>
    <cellStyle name="Currency [0] 7 2" xfId="1131"/>
    <cellStyle name="Currency [0] 7 2 2" xfId="1132"/>
    <cellStyle name="Currency [0] 7 3" xfId="1133"/>
    <cellStyle name="Currency [0] 7 4" xfId="1134"/>
    <cellStyle name="Currency [0] 8" xfId="1135"/>
    <cellStyle name="Currency [0] 8 2" xfId="1136"/>
    <cellStyle name="Currency [0] 8 2 2" xfId="1137"/>
    <cellStyle name="Currency [0] 8 3" xfId="1138"/>
    <cellStyle name="Currency [0] 8 4" xfId="1139"/>
    <cellStyle name="Currency 0" xfId="1140"/>
    <cellStyle name="Currency 2" xfId="1141"/>
    <cellStyle name="Currency_06_9m" xfId="1142"/>
    <cellStyle name="Currency0" xfId="1143"/>
    <cellStyle name="Currency2" xfId="1144"/>
    <cellStyle name="Date" xfId="1145"/>
    <cellStyle name="Date Aligned" xfId="1146"/>
    <cellStyle name="Dates" xfId="1147"/>
    <cellStyle name="Dezimal [0]_NEGS" xfId="1148"/>
    <cellStyle name="Dezimal_NEGS" xfId="1149"/>
    <cellStyle name="Dotted Line" xfId="1150"/>
    <cellStyle name="E&amp;Y House" xfId="1151"/>
    <cellStyle name="E-mail" xfId="1152"/>
    <cellStyle name="E-mail 2" xfId="1153"/>
    <cellStyle name="E-mail_EE.2REK.P2011.4.78(v0.3)" xfId="1154"/>
    <cellStyle name="Euro" xfId="1155"/>
    <cellStyle name="ew" xfId="1156"/>
    <cellStyle name="Explanatory Text" xfId="1157"/>
    <cellStyle name="F2" xfId="1158"/>
    <cellStyle name="F3" xfId="1159"/>
    <cellStyle name="F4" xfId="1160"/>
    <cellStyle name="F5" xfId="1161"/>
    <cellStyle name="F6" xfId="1162"/>
    <cellStyle name="F7" xfId="1163"/>
    <cellStyle name="F8" xfId="1164"/>
    <cellStyle name="Fixed" xfId="1165"/>
    <cellStyle name="fo]_x000d__x000a_UserName=Murat Zelef_x000d__x000a_UserCompany=Bumerang_x000d__x000a__x000d__x000a_[File Paths]_x000d__x000a_WorkingDirectory=C:\EQUIS\DLWIN_x000d__x000a_DownLoader=C" xfId="1166"/>
    <cellStyle name="Followed Hyperlink" xfId="1167"/>
    <cellStyle name="Footnote" xfId="1168"/>
    <cellStyle name="Good" xfId="1169"/>
    <cellStyle name="hard no" xfId="1170"/>
    <cellStyle name="Hard Percent" xfId="1171"/>
    <cellStyle name="hardno" xfId="1172"/>
    <cellStyle name="Header" xfId="1173"/>
    <cellStyle name="Header 3" xfId="1174"/>
    <cellStyle name="Heading" xfId="1175"/>
    <cellStyle name="Heading 1" xfId="1176"/>
    <cellStyle name="Heading 2" xfId="1177"/>
    <cellStyle name="Heading 3" xfId="1178"/>
    <cellStyle name="Heading 4" xfId="1179"/>
    <cellStyle name="Heading_GP.ITOG.4.78(v1.0) - для разделения" xfId="1180"/>
    <cellStyle name="Heading2" xfId="1181"/>
    <cellStyle name="Heading2 2" xfId="1182"/>
    <cellStyle name="Heading2_EE.2REK.P2011.4.78(v0.3)" xfId="1183"/>
    <cellStyle name="Hyperlink" xfId="1184"/>
    <cellStyle name="Îáű÷íűé__FES" xfId="1185"/>
    <cellStyle name="Îáû÷íûé_cogs" xfId="1186"/>
    <cellStyle name="Îňęđűâŕâřŕ˙ń˙ ăčďĺđńńűëęŕ" xfId="1187"/>
    <cellStyle name="Info" xfId="1188"/>
    <cellStyle name="Input" xfId="1189"/>
    <cellStyle name="InputCurrency" xfId="1190"/>
    <cellStyle name="InputCurrency2" xfId="1191"/>
    <cellStyle name="InputMultiple1" xfId="1192"/>
    <cellStyle name="InputPercent1" xfId="1193"/>
    <cellStyle name="Inputs" xfId="1194"/>
    <cellStyle name="Inputs (const)" xfId="1195"/>
    <cellStyle name="Inputs (const) 2" xfId="1196"/>
    <cellStyle name="Inputs (const)_EE.2REK.P2011.4.78(v0.3)" xfId="1197"/>
    <cellStyle name="Inputs 2" xfId="1198"/>
    <cellStyle name="Inputs Co" xfId="1199"/>
    <cellStyle name="Inputs_46EE.2011(v1.0)" xfId="1200"/>
    <cellStyle name="Linked Cell" xfId="1201"/>
    <cellStyle name="Millares [0]_RESULTS" xfId="1202"/>
    <cellStyle name="Millares_RESULTS" xfId="1203"/>
    <cellStyle name="Milliers [0]_RESULTS" xfId="1204"/>
    <cellStyle name="Milliers_RESULTS" xfId="1205"/>
    <cellStyle name="mnb" xfId="1206"/>
    <cellStyle name="Moneda [0]_RESULTS" xfId="1207"/>
    <cellStyle name="Moneda_RESULTS" xfId="1208"/>
    <cellStyle name="Monétaire [0]_RESULTS" xfId="1209"/>
    <cellStyle name="Monétaire_RESULTS" xfId="1210"/>
    <cellStyle name="Multiple" xfId="1211"/>
    <cellStyle name="Multiple1" xfId="1212"/>
    <cellStyle name="MultipleBelow" xfId="1213"/>
    <cellStyle name="namber" xfId="1214"/>
    <cellStyle name="Neutral" xfId="1215"/>
    <cellStyle name="Norma11l" xfId="1216"/>
    <cellStyle name="normal" xfId="1217"/>
    <cellStyle name="Normal - Style1" xfId="1218"/>
    <cellStyle name="normal 10" xfId="1219"/>
    <cellStyle name="normal 11" xfId="1220"/>
    <cellStyle name="normal 12" xfId="1221"/>
    <cellStyle name="Normal 2" xfId="1222"/>
    <cellStyle name="Normal 2 2" xfId="1223"/>
    <cellStyle name="Normal 2 3" xfId="1224"/>
    <cellStyle name="Normal 2 4" xfId="1225"/>
    <cellStyle name="normal 3" xfId="1226"/>
    <cellStyle name="normal 3 2" xfId="1227"/>
    <cellStyle name="normal 4" xfId="1228"/>
    <cellStyle name="normal 4 2" xfId="1229"/>
    <cellStyle name="normal 5" xfId="1230"/>
    <cellStyle name="normal 5 2" xfId="1231"/>
    <cellStyle name="normal 6" xfId="1232"/>
    <cellStyle name="normal 6 2" xfId="1233"/>
    <cellStyle name="normal 7" xfId="1234"/>
    <cellStyle name="normal 7 2" xfId="1235"/>
    <cellStyle name="normal 8" xfId="1236"/>
    <cellStyle name="normal 8 2" xfId="1237"/>
    <cellStyle name="normal 9" xfId="1238"/>
    <cellStyle name="normal 9 2" xfId="1239"/>
    <cellStyle name="Normal." xfId="1240"/>
    <cellStyle name="Normal_06_9m" xfId="1241"/>
    <cellStyle name="Normal1" xfId="1242"/>
    <cellStyle name="Normal2" xfId="1243"/>
    <cellStyle name="NormalGB" xfId="1244"/>
    <cellStyle name="Normalny_24. 02. 97." xfId="1245"/>
    <cellStyle name="normбlnм_laroux" xfId="1246"/>
    <cellStyle name="Note" xfId="1247"/>
    <cellStyle name="number" xfId="1248"/>
    <cellStyle name="Ôčíŕíńîâűé [0]_(ňŕá 3č)" xfId="1249"/>
    <cellStyle name="Ôčíŕíńîâűé_(ňŕá 3č)" xfId="1250"/>
    <cellStyle name="Option" xfId="1251"/>
    <cellStyle name="Òûñÿ÷è [0]_cogs" xfId="1252"/>
    <cellStyle name="Òûñÿ÷è_cogs" xfId="1253"/>
    <cellStyle name="Output" xfId="1254"/>
    <cellStyle name="Page Number" xfId="1255"/>
    <cellStyle name="pb_page_heading_LS" xfId="1256"/>
    <cellStyle name="Percent_RS_Lianozovo-Samara_9m01" xfId="1257"/>
    <cellStyle name="Percent1" xfId="1258"/>
    <cellStyle name="Piug" xfId="1259"/>
    <cellStyle name="Plug" xfId="1260"/>
    <cellStyle name="Price_Body" xfId="1261"/>
    <cellStyle name="prochrek" xfId="1262"/>
    <cellStyle name="Protected" xfId="1263"/>
    <cellStyle name="Salomon Logo" xfId="1264"/>
    <cellStyle name="SAPBEXaggData" xfId="1265"/>
    <cellStyle name="SAPBEXaggDataEmph" xfId="1266"/>
    <cellStyle name="SAPBEXaggItem" xfId="1267"/>
    <cellStyle name="SAPBEXaggItemX" xfId="1268"/>
    <cellStyle name="SAPBEXchaText" xfId="1269"/>
    <cellStyle name="SAPBEXchaText 2" xfId="1270"/>
    <cellStyle name="SAPBEXchaText_UPDATE.JKH.OPEN.INFO.TARIFF.HVS.TO.4.3.64" xfId="1271"/>
    <cellStyle name="SAPBEXexcBad7" xfId="1272"/>
    <cellStyle name="SAPBEXexcBad8" xfId="1273"/>
    <cellStyle name="SAPBEXexcBad9" xfId="1274"/>
    <cellStyle name="SAPBEXexcCritical4" xfId="1275"/>
    <cellStyle name="SAPBEXexcCritical5" xfId="1276"/>
    <cellStyle name="SAPBEXexcCritical6" xfId="1277"/>
    <cellStyle name="SAPBEXexcGood1" xfId="1278"/>
    <cellStyle name="SAPBEXexcGood2" xfId="1279"/>
    <cellStyle name="SAPBEXexcGood3" xfId="1280"/>
    <cellStyle name="SAPBEXfilterDrill" xfId="1281"/>
    <cellStyle name="SAPBEXfilterItem" xfId="1282"/>
    <cellStyle name="SAPBEXfilterText" xfId="1283"/>
    <cellStyle name="SAPBEXformats" xfId="1284"/>
    <cellStyle name="SAPBEXformats 2" xfId="1285"/>
    <cellStyle name="SAPBEXformats_UPDATE.JKH.OPEN.INFO.TARIFF.HVS.TO.4.3.64" xfId="1286"/>
    <cellStyle name="SAPBEXheaderItem" xfId="1287"/>
    <cellStyle name="SAPBEXheaderText" xfId="1288"/>
    <cellStyle name="SAPBEXHLevel0" xfId="1289"/>
    <cellStyle name="SAPBEXHLevel0 2" xfId="1290"/>
    <cellStyle name="SAPBEXHLevel0_UPDATE.JKH.OPEN.INFO.TARIFF.HVS.TO.4.3.64" xfId="1291"/>
    <cellStyle name="SAPBEXHLevel0X" xfId="1292"/>
    <cellStyle name="SAPBEXHLevel0X 2" xfId="1293"/>
    <cellStyle name="SAPBEXHLevel0X_UPDATE.JKH.OPEN.INFO.TARIFF.HVS.TO.4.3.64" xfId="1294"/>
    <cellStyle name="SAPBEXHLevel1" xfId="1295"/>
    <cellStyle name="SAPBEXHLevel1 2" xfId="1296"/>
    <cellStyle name="SAPBEXHLevel1_UPDATE.JKH.OPEN.INFO.TARIFF.HVS.TO.4.3.64" xfId="1297"/>
    <cellStyle name="SAPBEXHLevel1X" xfId="1298"/>
    <cellStyle name="SAPBEXHLevel1X 2" xfId="1299"/>
    <cellStyle name="SAPBEXHLevel1X_UPDATE.JKH.OPEN.INFO.TARIFF.HVS.TO.4.3.64" xfId="1300"/>
    <cellStyle name="SAPBEXHLevel2" xfId="1301"/>
    <cellStyle name="SAPBEXHLevel2 2" xfId="1302"/>
    <cellStyle name="SAPBEXHLevel2_UPDATE.JKH.OPEN.INFO.TARIFF.HVS.TO.4.3.64" xfId="1303"/>
    <cellStyle name="SAPBEXHLevel2X" xfId="1304"/>
    <cellStyle name="SAPBEXHLevel2X 2" xfId="1305"/>
    <cellStyle name="SAPBEXHLevel2X_UPDATE.JKH.OPEN.INFO.TARIFF.HVS.TO.4.3.64" xfId="1306"/>
    <cellStyle name="SAPBEXHLevel3" xfId="1307"/>
    <cellStyle name="SAPBEXHLevel3 2" xfId="1308"/>
    <cellStyle name="SAPBEXHLevel3_UPDATE.JKH.OPEN.INFO.TARIFF.HVS.TO.4.3.64" xfId="1309"/>
    <cellStyle name="SAPBEXHLevel3X" xfId="1310"/>
    <cellStyle name="SAPBEXHLevel3X 2" xfId="1311"/>
    <cellStyle name="SAPBEXHLevel3X_UPDATE.JKH.OPEN.INFO.TARIFF.HVS.TO.4.3.64" xfId="1312"/>
    <cellStyle name="SAPBEXinputData" xfId="1313"/>
    <cellStyle name="SAPBEXinputData 2" xfId="1314"/>
    <cellStyle name="SAPBEXinputData 3" xfId="1315"/>
    <cellStyle name="SAPBEXinputData 4" xfId="1316"/>
    <cellStyle name="SAPBEXresData" xfId="1317"/>
    <cellStyle name="SAPBEXresDataEmph" xfId="1318"/>
    <cellStyle name="SAPBEXresItem" xfId="1319"/>
    <cellStyle name="SAPBEXresItemX" xfId="1320"/>
    <cellStyle name="SAPBEXstdData" xfId="1321"/>
    <cellStyle name="SAPBEXstdDataEmph" xfId="1322"/>
    <cellStyle name="SAPBEXstdItem" xfId="1323"/>
    <cellStyle name="SAPBEXstdItem 2" xfId="1324"/>
    <cellStyle name="SAPBEXstdItem_UPDATE.JKH.OPEN.INFO.TARIFF.HVS.TO.4.3.64" xfId="1325"/>
    <cellStyle name="SAPBEXstdItemX" xfId="1326"/>
    <cellStyle name="SAPBEXstdItemX 2" xfId="1327"/>
    <cellStyle name="SAPBEXstdItemX_UPDATE.JKH.OPEN.INFO.TARIFF.HVS.TO.4.3.64" xfId="1328"/>
    <cellStyle name="SAPBEXtitle" xfId="1329"/>
    <cellStyle name="SAPBEXundefined" xfId="1330"/>
    <cellStyle name="st1" xfId="1331"/>
    <cellStyle name="Standard_NEGS" xfId="1332"/>
    <cellStyle name="Style 1" xfId="1333"/>
    <cellStyle name="Table Head" xfId="1334"/>
    <cellStyle name="Table Head Aligned" xfId="1335"/>
    <cellStyle name="Table Head Blue" xfId="1336"/>
    <cellStyle name="Table Head Green" xfId="1337"/>
    <cellStyle name="Table Head_Val_Sum_Graph" xfId="1338"/>
    <cellStyle name="Table Heading" xfId="1339"/>
    <cellStyle name="Table Heading 2" xfId="1340"/>
    <cellStyle name="Table Heading_EE.2REK.P2011.4.78(v0.3)" xfId="1341"/>
    <cellStyle name="Table Text" xfId="1342"/>
    <cellStyle name="Table Title" xfId="1343"/>
    <cellStyle name="Table Units" xfId="1344"/>
    <cellStyle name="Table_Header" xfId="1345"/>
    <cellStyle name="Text" xfId="1346"/>
    <cellStyle name="Text 1" xfId="1347"/>
    <cellStyle name="Text Head" xfId="1348"/>
    <cellStyle name="Text Head 1" xfId="1349"/>
    <cellStyle name="Title" xfId="1350"/>
    <cellStyle name="Title 4" xfId="1351"/>
    <cellStyle name="Total" xfId="1352"/>
    <cellStyle name="TotalCurrency" xfId="1353"/>
    <cellStyle name="Underline_Single" xfId="1354"/>
    <cellStyle name="Unit" xfId="1355"/>
    <cellStyle name="Warning Text" xfId="1356"/>
    <cellStyle name="year" xfId="1357"/>
    <cellStyle name="Акцент1 10" xfId="1358"/>
    <cellStyle name="Акцент1 2" xfId="1359"/>
    <cellStyle name="Акцент1 2 2" xfId="1360"/>
    <cellStyle name="Акцент1 3" xfId="1361"/>
    <cellStyle name="Акцент1 3 2" xfId="1362"/>
    <cellStyle name="Акцент1 4" xfId="1363"/>
    <cellStyle name="Акцент1 4 2" xfId="1364"/>
    <cellStyle name="Акцент1 5" xfId="1365"/>
    <cellStyle name="Акцент1 5 2" xfId="1366"/>
    <cellStyle name="Акцент1 6" xfId="1367"/>
    <cellStyle name="Акцент1 6 2" xfId="1368"/>
    <cellStyle name="Акцент1 7" xfId="1369"/>
    <cellStyle name="Акцент1 7 2" xfId="1370"/>
    <cellStyle name="Акцент1 8" xfId="1371"/>
    <cellStyle name="Акцент1 8 2" xfId="1372"/>
    <cellStyle name="Акцент1 9" xfId="1373"/>
    <cellStyle name="Акцент1 9 2" xfId="1374"/>
    <cellStyle name="Акцент2 10" xfId="1375"/>
    <cellStyle name="Акцент2 2" xfId="1376"/>
    <cellStyle name="Акцент2 2 2" xfId="1377"/>
    <cellStyle name="Акцент2 3" xfId="1378"/>
    <cellStyle name="Акцент2 3 2" xfId="1379"/>
    <cellStyle name="Акцент2 4" xfId="1380"/>
    <cellStyle name="Акцент2 4 2" xfId="1381"/>
    <cellStyle name="Акцент2 5" xfId="1382"/>
    <cellStyle name="Акцент2 5 2" xfId="1383"/>
    <cellStyle name="Акцент2 6" xfId="1384"/>
    <cellStyle name="Акцент2 6 2" xfId="1385"/>
    <cellStyle name="Акцент2 7" xfId="1386"/>
    <cellStyle name="Акцент2 7 2" xfId="1387"/>
    <cellStyle name="Акцент2 8" xfId="1388"/>
    <cellStyle name="Акцент2 8 2" xfId="1389"/>
    <cellStyle name="Акцент2 9" xfId="1390"/>
    <cellStyle name="Акцент2 9 2" xfId="1391"/>
    <cellStyle name="Акцент3 10" xfId="1392"/>
    <cellStyle name="Акцент3 2" xfId="1393"/>
    <cellStyle name="Акцент3 2 2" xfId="1394"/>
    <cellStyle name="Акцент3 3" xfId="1395"/>
    <cellStyle name="Акцент3 3 2" xfId="1396"/>
    <cellStyle name="Акцент3 4" xfId="1397"/>
    <cellStyle name="Акцент3 4 2" xfId="1398"/>
    <cellStyle name="Акцент3 5" xfId="1399"/>
    <cellStyle name="Акцент3 5 2" xfId="1400"/>
    <cellStyle name="Акцент3 6" xfId="1401"/>
    <cellStyle name="Акцент3 6 2" xfId="1402"/>
    <cellStyle name="Акцент3 7" xfId="1403"/>
    <cellStyle name="Акцент3 7 2" xfId="1404"/>
    <cellStyle name="Акцент3 8" xfId="1405"/>
    <cellStyle name="Акцент3 8 2" xfId="1406"/>
    <cellStyle name="Акцент3 9" xfId="1407"/>
    <cellStyle name="Акцент3 9 2" xfId="1408"/>
    <cellStyle name="Акцент4 10" xfId="1409"/>
    <cellStyle name="Акцент4 2" xfId="1410"/>
    <cellStyle name="Акцент4 2 2" xfId="1411"/>
    <cellStyle name="Акцент4 3" xfId="1412"/>
    <cellStyle name="Акцент4 3 2" xfId="1413"/>
    <cellStyle name="Акцент4 4" xfId="1414"/>
    <cellStyle name="Акцент4 4 2" xfId="1415"/>
    <cellStyle name="Акцент4 5" xfId="1416"/>
    <cellStyle name="Акцент4 5 2" xfId="1417"/>
    <cellStyle name="Акцент4 6" xfId="1418"/>
    <cellStyle name="Акцент4 6 2" xfId="1419"/>
    <cellStyle name="Акцент4 7" xfId="1420"/>
    <cellStyle name="Акцент4 7 2" xfId="1421"/>
    <cellStyle name="Акцент4 8" xfId="1422"/>
    <cellStyle name="Акцент4 8 2" xfId="1423"/>
    <cellStyle name="Акцент4 9" xfId="1424"/>
    <cellStyle name="Акцент4 9 2" xfId="1425"/>
    <cellStyle name="Акцент5 10" xfId="1426"/>
    <cellStyle name="Акцент5 2" xfId="1427"/>
    <cellStyle name="Акцент5 2 2" xfId="1428"/>
    <cellStyle name="Акцент5 3" xfId="1429"/>
    <cellStyle name="Акцент5 3 2" xfId="1430"/>
    <cellStyle name="Акцент5 4" xfId="1431"/>
    <cellStyle name="Акцент5 4 2" xfId="1432"/>
    <cellStyle name="Акцент5 5" xfId="1433"/>
    <cellStyle name="Акцент5 5 2" xfId="1434"/>
    <cellStyle name="Акцент5 6" xfId="1435"/>
    <cellStyle name="Акцент5 6 2" xfId="1436"/>
    <cellStyle name="Акцент5 7" xfId="1437"/>
    <cellStyle name="Акцент5 7 2" xfId="1438"/>
    <cellStyle name="Акцент5 8" xfId="1439"/>
    <cellStyle name="Акцент5 8 2" xfId="1440"/>
    <cellStyle name="Акцент5 9" xfId="1441"/>
    <cellStyle name="Акцент5 9 2" xfId="1442"/>
    <cellStyle name="Акцент6 10" xfId="1443"/>
    <cellStyle name="Акцент6 2" xfId="1444"/>
    <cellStyle name="Акцент6 2 2" xfId="1445"/>
    <cellStyle name="Акцент6 3" xfId="1446"/>
    <cellStyle name="Акцент6 3 2" xfId="1447"/>
    <cellStyle name="Акцент6 4" xfId="1448"/>
    <cellStyle name="Акцент6 4 2" xfId="1449"/>
    <cellStyle name="Акцент6 5" xfId="1450"/>
    <cellStyle name="Акцент6 5 2" xfId="1451"/>
    <cellStyle name="Акцент6 6" xfId="1452"/>
    <cellStyle name="Акцент6 6 2" xfId="1453"/>
    <cellStyle name="Акцент6 7" xfId="1454"/>
    <cellStyle name="Акцент6 7 2" xfId="1455"/>
    <cellStyle name="Акцент6 8" xfId="1456"/>
    <cellStyle name="Акцент6 8 2" xfId="1457"/>
    <cellStyle name="Акцент6 9" xfId="1458"/>
    <cellStyle name="Акцент6 9 2" xfId="1459"/>
    <cellStyle name="Беззащитный" xfId="1460"/>
    <cellStyle name="Ввод  10" xfId="1461"/>
    <cellStyle name="Ввод  2" xfId="1462"/>
    <cellStyle name="Ввод  2 2" xfId="1463"/>
    <cellStyle name="Ввод  2_46EE.2011(v1.0)" xfId="1464"/>
    <cellStyle name="Ввод  3" xfId="1465"/>
    <cellStyle name="Ввод  3 2" xfId="1466"/>
    <cellStyle name="Ввод  3_46EE.2011(v1.0)" xfId="1467"/>
    <cellStyle name="Ввод  4" xfId="1468"/>
    <cellStyle name="Ввод  4 2" xfId="1469"/>
    <cellStyle name="Ввод  4_46EE.2011(v1.0)" xfId="1470"/>
    <cellStyle name="Ввод  5" xfId="1471"/>
    <cellStyle name="Ввод  5 2" xfId="1472"/>
    <cellStyle name="Ввод  5_46EE.2011(v1.0)" xfId="1473"/>
    <cellStyle name="Ввод  6" xfId="1474"/>
    <cellStyle name="Ввод  6 2" xfId="1475"/>
    <cellStyle name="Ввод  6_46EE.2011(v1.0)" xfId="1476"/>
    <cellStyle name="Ввод  7" xfId="1477"/>
    <cellStyle name="Ввод  7 2" xfId="1478"/>
    <cellStyle name="Ввод  7_46EE.2011(v1.0)" xfId="1479"/>
    <cellStyle name="Ввод  8" xfId="1480"/>
    <cellStyle name="Ввод  8 2" xfId="1481"/>
    <cellStyle name="Ввод  8_46EE.2011(v1.0)" xfId="1482"/>
    <cellStyle name="Ввод  9" xfId="1483"/>
    <cellStyle name="Ввод  9 2" xfId="1484"/>
    <cellStyle name="Ввод  9_46EE.2011(v1.0)" xfId="1485"/>
    <cellStyle name="Верт. заголовок" xfId="1486"/>
    <cellStyle name="Вес_продукта" xfId="1487"/>
    <cellStyle name="Вывод 10" xfId="1488"/>
    <cellStyle name="Вывод 2" xfId="1489"/>
    <cellStyle name="Вывод 2 2" xfId="1490"/>
    <cellStyle name="Вывод 2_46EE.2011(v1.0)" xfId="1491"/>
    <cellStyle name="Вывод 3" xfId="1492"/>
    <cellStyle name="Вывод 3 2" xfId="1493"/>
    <cellStyle name="Вывод 3_46EE.2011(v1.0)" xfId="1494"/>
    <cellStyle name="Вывод 4" xfId="1495"/>
    <cellStyle name="Вывод 4 2" xfId="1496"/>
    <cellStyle name="Вывод 4_46EE.2011(v1.0)" xfId="1497"/>
    <cellStyle name="Вывод 5" xfId="1498"/>
    <cellStyle name="Вывод 5 2" xfId="1499"/>
    <cellStyle name="Вывод 5_46EE.2011(v1.0)" xfId="1500"/>
    <cellStyle name="Вывод 6" xfId="1501"/>
    <cellStyle name="Вывод 6 2" xfId="1502"/>
    <cellStyle name="Вывод 6_46EE.2011(v1.0)" xfId="1503"/>
    <cellStyle name="Вывод 7" xfId="1504"/>
    <cellStyle name="Вывод 7 2" xfId="1505"/>
    <cellStyle name="Вывод 7_46EE.2011(v1.0)" xfId="1506"/>
    <cellStyle name="Вывод 8" xfId="1507"/>
    <cellStyle name="Вывод 8 2" xfId="1508"/>
    <cellStyle name="Вывод 8_46EE.2011(v1.0)" xfId="1509"/>
    <cellStyle name="Вывод 9" xfId="1510"/>
    <cellStyle name="Вывод 9 2" xfId="1511"/>
    <cellStyle name="Вывод 9_46EE.2011(v1.0)" xfId="1512"/>
    <cellStyle name="Вычисление 10" xfId="1513"/>
    <cellStyle name="Вычисление 2" xfId="1514"/>
    <cellStyle name="Вычисление 2 2" xfId="1515"/>
    <cellStyle name="Вычисление 2_46EE.2011(v1.0)" xfId="1516"/>
    <cellStyle name="Вычисление 3" xfId="1517"/>
    <cellStyle name="Вычисление 3 2" xfId="1518"/>
    <cellStyle name="Вычисление 3_46EE.2011(v1.0)" xfId="1519"/>
    <cellStyle name="Вычисление 4" xfId="1520"/>
    <cellStyle name="Вычисление 4 2" xfId="1521"/>
    <cellStyle name="Вычисление 4_46EE.2011(v1.0)" xfId="1522"/>
    <cellStyle name="Вычисление 5" xfId="1523"/>
    <cellStyle name="Вычисление 5 2" xfId="1524"/>
    <cellStyle name="Вычисление 5_46EE.2011(v1.0)" xfId="1525"/>
    <cellStyle name="Вычисление 6" xfId="1526"/>
    <cellStyle name="Вычисление 6 2" xfId="1527"/>
    <cellStyle name="Вычисление 6_46EE.2011(v1.0)" xfId="1528"/>
    <cellStyle name="Вычисление 7" xfId="1529"/>
    <cellStyle name="Вычисление 7 2" xfId="1530"/>
    <cellStyle name="Вычисление 7_46EE.2011(v1.0)" xfId="1531"/>
    <cellStyle name="Вычисление 8" xfId="1532"/>
    <cellStyle name="Вычисление 8 2" xfId="1533"/>
    <cellStyle name="Вычисление 8_46EE.2011(v1.0)" xfId="1534"/>
    <cellStyle name="Вычисление 9" xfId="1535"/>
    <cellStyle name="Вычисление 9 2" xfId="1536"/>
    <cellStyle name="Вычисление 9_46EE.2011(v1.0)" xfId="1537"/>
    <cellStyle name="Гиперссылка" xfId="2" builtinId="8"/>
    <cellStyle name="Гиперссылка 2" xfId="1538"/>
    <cellStyle name="Гиперссылка 2 2" xfId="1539"/>
    <cellStyle name="Гиперссылка 2 3" xfId="1540"/>
    <cellStyle name="Гиперссылка 2_Исходные данные" xfId="1541"/>
    <cellStyle name="Гиперссылка 3" xfId="1542"/>
    <cellStyle name="Гиперссылка 3 2" xfId="1543"/>
    <cellStyle name="Гиперссылка 4" xfId="1544"/>
    <cellStyle name="Гиперссылка 5" xfId="1545"/>
    <cellStyle name="Гиперссылка 6" xfId="1546"/>
    <cellStyle name="Группа" xfId="1547"/>
    <cellStyle name="Группа 0" xfId="1548"/>
    <cellStyle name="Группа 1" xfId="1549"/>
    <cellStyle name="Группа 2" xfId="1550"/>
    <cellStyle name="Группа 3" xfId="1551"/>
    <cellStyle name="Группа 4" xfId="1552"/>
    <cellStyle name="Группа 5" xfId="1553"/>
    <cellStyle name="Группа 6" xfId="1554"/>
    <cellStyle name="Группа 7" xfId="1555"/>
    <cellStyle name="Группа 8" xfId="1556"/>
    <cellStyle name="Группа_additional slides_04.12.03 _1" xfId="1557"/>
    <cellStyle name="ДАТА" xfId="1558"/>
    <cellStyle name="ДАТА 2" xfId="1559"/>
    <cellStyle name="ДАТА 2 2" xfId="1560"/>
    <cellStyle name="ДАТА 3" xfId="1561"/>
    <cellStyle name="ДАТА 3 2" xfId="1562"/>
    <cellStyle name="ДАТА 4" xfId="1563"/>
    <cellStyle name="ДАТА 4 2" xfId="1564"/>
    <cellStyle name="ДАТА 5" xfId="1565"/>
    <cellStyle name="ДАТА 5 2" xfId="1566"/>
    <cellStyle name="ДАТА 6" xfId="1567"/>
    <cellStyle name="ДАТА 6 2" xfId="1568"/>
    <cellStyle name="ДАТА 7" xfId="1569"/>
    <cellStyle name="ДАТА 7 2" xfId="1570"/>
    <cellStyle name="ДАТА 8" xfId="1571"/>
    <cellStyle name="ДАТА 8 2" xfId="1572"/>
    <cellStyle name="ДАТА 9" xfId="1573"/>
    <cellStyle name="ДАТА_1" xfId="1574"/>
    <cellStyle name="Денежный 2" xfId="1575"/>
    <cellStyle name="Денежный 2 2" xfId="1576"/>
    <cellStyle name="Денежный 2 3" xfId="1577"/>
    <cellStyle name="Денежный 2_INDEX.STATION.2012(v1.0)_" xfId="1578"/>
    <cellStyle name="Заголовок" xfId="1579"/>
    <cellStyle name="Заголовок 1 10" xfId="1580"/>
    <cellStyle name="Заголовок 1 2" xfId="1581"/>
    <cellStyle name="Заголовок 1 2 2" xfId="1582"/>
    <cellStyle name="Заголовок 1 2_46EE.2011(v1.0)" xfId="1583"/>
    <cellStyle name="Заголовок 1 3" xfId="1584"/>
    <cellStyle name="Заголовок 1 3 2" xfId="1585"/>
    <cellStyle name="Заголовок 1 3_46EE.2011(v1.0)" xfId="1586"/>
    <cellStyle name="Заголовок 1 4" xfId="1587"/>
    <cellStyle name="Заголовок 1 4 2" xfId="1588"/>
    <cellStyle name="Заголовок 1 4_46EE.2011(v1.0)" xfId="1589"/>
    <cellStyle name="Заголовок 1 5" xfId="1590"/>
    <cellStyle name="Заголовок 1 5 2" xfId="1591"/>
    <cellStyle name="Заголовок 1 5_46EE.2011(v1.0)" xfId="1592"/>
    <cellStyle name="Заголовок 1 6" xfId="1593"/>
    <cellStyle name="Заголовок 1 6 2" xfId="1594"/>
    <cellStyle name="Заголовок 1 6_46EE.2011(v1.0)" xfId="1595"/>
    <cellStyle name="Заголовок 1 7" xfId="1596"/>
    <cellStyle name="Заголовок 1 7 2" xfId="1597"/>
    <cellStyle name="Заголовок 1 7_46EE.2011(v1.0)" xfId="1598"/>
    <cellStyle name="Заголовок 1 8" xfId="1599"/>
    <cellStyle name="Заголовок 1 8 2" xfId="1600"/>
    <cellStyle name="Заголовок 1 8_46EE.2011(v1.0)" xfId="1601"/>
    <cellStyle name="Заголовок 1 9" xfId="1602"/>
    <cellStyle name="Заголовок 1 9 2" xfId="1603"/>
    <cellStyle name="Заголовок 1 9_46EE.2011(v1.0)" xfId="1604"/>
    <cellStyle name="Заголовок 2 10" xfId="1605"/>
    <cellStyle name="Заголовок 2 2" xfId="1606"/>
    <cellStyle name="Заголовок 2 2 2" xfId="1607"/>
    <cellStyle name="Заголовок 2 2_46EE.2011(v1.0)" xfId="1608"/>
    <cellStyle name="Заголовок 2 3" xfId="1609"/>
    <cellStyle name="Заголовок 2 3 2" xfId="1610"/>
    <cellStyle name="Заголовок 2 3_46EE.2011(v1.0)" xfId="1611"/>
    <cellStyle name="Заголовок 2 4" xfId="1612"/>
    <cellStyle name="Заголовок 2 4 2" xfId="1613"/>
    <cellStyle name="Заголовок 2 4_46EE.2011(v1.0)" xfId="1614"/>
    <cellStyle name="Заголовок 2 5" xfId="1615"/>
    <cellStyle name="Заголовок 2 5 2" xfId="1616"/>
    <cellStyle name="Заголовок 2 5_46EE.2011(v1.0)" xfId="1617"/>
    <cellStyle name="Заголовок 2 6" xfId="1618"/>
    <cellStyle name="Заголовок 2 6 2" xfId="1619"/>
    <cellStyle name="Заголовок 2 6_46EE.2011(v1.0)" xfId="1620"/>
    <cellStyle name="Заголовок 2 7" xfId="1621"/>
    <cellStyle name="Заголовок 2 7 2" xfId="1622"/>
    <cellStyle name="Заголовок 2 7_46EE.2011(v1.0)" xfId="1623"/>
    <cellStyle name="Заголовок 2 8" xfId="1624"/>
    <cellStyle name="Заголовок 2 8 2" xfId="1625"/>
    <cellStyle name="Заголовок 2 8_46EE.2011(v1.0)" xfId="1626"/>
    <cellStyle name="Заголовок 2 9" xfId="1627"/>
    <cellStyle name="Заголовок 2 9 2" xfId="1628"/>
    <cellStyle name="Заголовок 2 9_46EE.2011(v1.0)" xfId="1629"/>
    <cellStyle name="Заголовок 3 10" xfId="1630"/>
    <cellStyle name="Заголовок 3 2" xfId="1631"/>
    <cellStyle name="Заголовок 3 2 2" xfId="1632"/>
    <cellStyle name="Заголовок 3 2_46EE.2011(v1.0)" xfId="1633"/>
    <cellStyle name="Заголовок 3 3" xfId="1634"/>
    <cellStyle name="Заголовок 3 3 2" xfId="1635"/>
    <cellStyle name="Заголовок 3 3_46EE.2011(v1.0)" xfId="1636"/>
    <cellStyle name="Заголовок 3 4" xfId="1637"/>
    <cellStyle name="Заголовок 3 4 2" xfId="1638"/>
    <cellStyle name="Заголовок 3 4_46EE.2011(v1.0)" xfId="1639"/>
    <cellStyle name="Заголовок 3 5" xfId="1640"/>
    <cellStyle name="Заголовок 3 5 2" xfId="1641"/>
    <cellStyle name="Заголовок 3 5_46EE.2011(v1.0)" xfId="1642"/>
    <cellStyle name="Заголовок 3 6" xfId="1643"/>
    <cellStyle name="Заголовок 3 6 2" xfId="1644"/>
    <cellStyle name="Заголовок 3 6_46EE.2011(v1.0)" xfId="1645"/>
    <cellStyle name="Заголовок 3 7" xfId="1646"/>
    <cellStyle name="Заголовок 3 7 2" xfId="1647"/>
    <cellStyle name="Заголовок 3 7_46EE.2011(v1.0)" xfId="1648"/>
    <cellStyle name="Заголовок 3 8" xfId="1649"/>
    <cellStyle name="Заголовок 3 8 2" xfId="1650"/>
    <cellStyle name="Заголовок 3 8_46EE.2011(v1.0)" xfId="1651"/>
    <cellStyle name="Заголовок 3 9" xfId="1652"/>
    <cellStyle name="Заголовок 3 9 2" xfId="1653"/>
    <cellStyle name="Заголовок 3 9_46EE.2011(v1.0)" xfId="1654"/>
    <cellStyle name="Заголовок 4 10" xfId="1655"/>
    <cellStyle name="Заголовок 4 2" xfId="1656"/>
    <cellStyle name="Заголовок 4 2 2" xfId="1657"/>
    <cellStyle name="Заголовок 4 3" xfId="1658"/>
    <cellStyle name="Заголовок 4 3 2" xfId="1659"/>
    <cellStyle name="Заголовок 4 4" xfId="1660"/>
    <cellStyle name="Заголовок 4 4 2" xfId="1661"/>
    <cellStyle name="Заголовок 4 5" xfId="1662"/>
    <cellStyle name="Заголовок 4 5 2" xfId="1663"/>
    <cellStyle name="Заголовок 4 6" xfId="1664"/>
    <cellStyle name="Заголовок 4 6 2" xfId="1665"/>
    <cellStyle name="Заголовок 4 7" xfId="1666"/>
    <cellStyle name="Заголовок 4 7 2" xfId="1667"/>
    <cellStyle name="Заголовок 4 8" xfId="1668"/>
    <cellStyle name="Заголовок 4 8 2" xfId="1669"/>
    <cellStyle name="Заголовок 4 9" xfId="1670"/>
    <cellStyle name="Заголовок 4 9 2" xfId="1671"/>
    <cellStyle name="ЗАГОЛОВОК1" xfId="1672"/>
    <cellStyle name="ЗАГОЛОВОК2" xfId="1673"/>
    <cellStyle name="ЗаголовокСтолбца" xfId="1674"/>
    <cellStyle name="Защитный" xfId="1675"/>
    <cellStyle name="Значение" xfId="1676"/>
    <cellStyle name="Зоголовок" xfId="1677"/>
    <cellStyle name="Итог 10" xfId="1678"/>
    <cellStyle name="Итог 2" xfId="1679"/>
    <cellStyle name="Итог 2 2" xfId="1680"/>
    <cellStyle name="Итог 2_46EE.2011(v1.0)" xfId="1681"/>
    <cellStyle name="Итог 3" xfId="1682"/>
    <cellStyle name="Итог 3 2" xfId="1683"/>
    <cellStyle name="Итог 3_46EE.2011(v1.0)" xfId="1684"/>
    <cellStyle name="Итог 4" xfId="1685"/>
    <cellStyle name="Итог 4 2" xfId="1686"/>
    <cellStyle name="Итог 4_46EE.2011(v1.0)" xfId="1687"/>
    <cellStyle name="Итог 5" xfId="1688"/>
    <cellStyle name="Итог 5 2" xfId="1689"/>
    <cellStyle name="Итог 5_46EE.2011(v1.0)" xfId="1690"/>
    <cellStyle name="Итог 6" xfId="1691"/>
    <cellStyle name="Итог 6 2" xfId="1692"/>
    <cellStyle name="Итог 6_46EE.2011(v1.0)" xfId="1693"/>
    <cellStyle name="Итог 7" xfId="1694"/>
    <cellStyle name="Итог 7 2" xfId="1695"/>
    <cellStyle name="Итог 7_46EE.2011(v1.0)" xfId="1696"/>
    <cellStyle name="Итог 8" xfId="1697"/>
    <cellStyle name="Итог 8 2" xfId="1698"/>
    <cellStyle name="Итог 8_46EE.2011(v1.0)" xfId="1699"/>
    <cellStyle name="Итог 9" xfId="1700"/>
    <cellStyle name="Итог 9 2" xfId="1701"/>
    <cellStyle name="Итог 9_46EE.2011(v1.0)" xfId="1702"/>
    <cellStyle name="Итого" xfId="1703"/>
    <cellStyle name="ИТОГОВЫЙ" xfId="1704"/>
    <cellStyle name="ИТОГОВЫЙ 2" xfId="1705"/>
    <cellStyle name="ИТОГОВЫЙ 2 2" xfId="1706"/>
    <cellStyle name="ИТОГОВЫЙ 2_UPDATE.JKH.OPEN.INFO.TARIFF.HVS.TO.4.3.64" xfId="1707"/>
    <cellStyle name="ИТОГОВЫЙ 3" xfId="1708"/>
    <cellStyle name="ИТОГОВЫЙ 3 2" xfId="1709"/>
    <cellStyle name="ИТОГОВЫЙ 3_UPDATE.JKH.OPEN.INFO.TARIFF.HVS.TO.4.3.64" xfId="1710"/>
    <cellStyle name="ИТОГОВЫЙ 4" xfId="1711"/>
    <cellStyle name="ИТОГОВЫЙ 4 2" xfId="1712"/>
    <cellStyle name="ИТОГОВЫЙ 4_UPDATE.JKH.OPEN.INFO.TARIFF.HVS.TO.4.3.64" xfId="1713"/>
    <cellStyle name="ИТОГОВЫЙ 5" xfId="1714"/>
    <cellStyle name="ИТОГОВЫЙ 5 2" xfId="1715"/>
    <cellStyle name="ИТОГОВЫЙ 5_UPDATE.JKH.OPEN.INFO.TARIFF.HVS.TO.4.3.64" xfId="1716"/>
    <cellStyle name="ИТОГОВЫЙ 6" xfId="1717"/>
    <cellStyle name="ИТОГОВЫЙ 6 2" xfId="1718"/>
    <cellStyle name="ИТОГОВЫЙ 6_UPDATE.JKH.OPEN.INFO.TARIFF.HVS.TO.4.3.64" xfId="1719"/>
    <cellStyle name="ИТОГОВЫЙ 7" xfId="1720"/>
    <cellStyle name="ИТОГОВЫЙ 7 2" xfId="1721"/>
    <cellStyle name="ИТОГОВЫЙ 7_UPDATE.JKH.OPEN.INFO.TARIFF.HVS.TO.4.3.64" xfId="1722"/>
    <cellStyle name="ИТОГОВЫЙ 8" xfId="1723"/>
    <cellStyle name="ИТОГОВЫЙ 8 2" xfId="1724"/>
    <cellStyle name="ИТОГОВЫЙ 8_UPDATE.JKH.OPEN.INFO.TARIFF.HVS.TO.4.3.64" xfId="1725"/>
    <cellStyle name="ИТОГОВЫЙ 9" xfId="1726"/>
    <cellStyle name="ИТОГОВЫЙ_1" xfId="1727"/>
    <cellStyle name="Контрольная ячейка 10" xfId="1728"/>
    <cellStyle name="Контрольная ячейка 2" xfId="1729"/>
    <cellStyle name="Контрольная ячейка 2 2" xfId="1730"/>
    <cellStyle name="Контрольная ячейка 2_46EE.2011(v1.0)" xfId="1731"/>
    <cellStyle name="Контрольная ячейка 3" xfId="1732"/>
    <cellStyle name="Контрольная ячейка 3 2" xfId="1733"/>
    <cellStyle name="Контрольная ячейка 3_46EE.2011(v1.0)" xfId="1734"/>
    <cellStyle name="Контрольная ячейка 4" xfId="1735"/>
    <cellStyle name="Контрольная ячейка 4 2" xfId="1736"/>
    <cellStyle name="Контрольная ячейка 4_46EE.2011(v1.0)" xfId="1737"/>
    <cellStyle name="Контрольная ячейка 5" xfId="1738"/>
    <cellStyle name="Контрольная ячейка 5 2" xfId="1739"/>
    <cellStyle name="Контрольная ячейка 5_46EE.2011(v1.0)" xfId="1740"/>
    <cellStyle name="Контрольная ячейка 6" xfId="1741"/>
    <cellStyle name="Контрольная ячейка 6 2" xfId="1742"/>
    <cellStyle name="Контрольная ячейка 6_46EE.2011(v1.0)" xfId="1743"/>
    <cellStyle name="Контрольная ячейка 7" xfId="1744"/>
    <cellStyle name="Контрольная ячейка 7 2" xfId="1745"/>
    <cellStyle name="Контрольная ячейка 7_46EE.2011(v1.0)" xfId="1746"/>
    <cellStyle name="Контрольная ячейка 8" xfId="1747"/>
    <cellStyle name="Контрольная ячейка 8 2" xfId="1748"/>
    <cellStyle name="Контрольная ячейка 8_46EE.2011(v1.0)" xfId="1749"/>
    <cellStyle name="Контрольная ячейка 9" xfId="1750"/>
    <cellStyle name="Контрольная ячейка 9 2" xfId="1751"/>
    <cellStyle name="Контрольная ячейка 9_46EE.2011(v1.0)" xfId="1752"/>
    <cellStyle name="Миша (бланки отчетности)" xfId="1753"/>
    <cellStyle name="Мой заголовок" xfId="1754"/>
    <cellStyle name="Мой заголовок листа" xfId="1755"/>
    <cellStyle name="Мои наименования показателей" xfId="1756"/>
    <cellStyle name="Мои наименования показателей 10" xfId="1757"/>
    <cellStyle name="Мои наименования показателей 11" xfId="1758"/>
    <cellStyle name="Мои наименования показателей 2" xfId="1759"/>
    <cellStyle name="Мои наименования показателей 2 2" xfId="1760"/>
    <cellStyle name="Мои наименования показателей 2 2 2" xfId="1761"/>
    <cellStyle name="Мои наименования показателей 2 3" xfId="1762"/>
    <cellStyle name="Мои наименования показателей 2 3 2" xfId="1763"/>
    <cellStyle name="Мои наименования показателей 2 4" xfId="1764"/>
    <cellStyle name="Мои наименования показателей 2 4 2" xfId="1765"/>
    <cellStyle name="Мои наименования показателей 2 5" xfId="1766"/>
    <cellStyle name="Мои наименования показателей 2 5 2" xfId="1767"/>
    <cellStyle name="Мои наименования показателей 2 6" xfId="1768"/>
    <cellStyle name="Мои наименования показателей 2 6 2" xfId="1769"/>
    <cellStyle name="Мои наименования показателей 2 7" xfId="1770"/>
    <cellStyle name="Мои наименования показателей 2 7 2" xfId="1771"/>
    <cellStyle name="Мои наименования показателей 2 8" xfId="1772"/>
    <cellStyle name="Мои наименования показателей 2 8 2" xfId="1773"/>
    <cellStyle name="Мои наименования показателей 2 9" xfId="1774"/>
    <cellStyle name="Мои наименования показателей 2_1" xfId="1775"/>
    <cellStyle name="Мои наименования показателей 3" xfId="1776"/>
    <cellStyle name="Мои наименования показателей 3 2" xfId="1777"/>
    <cellStyle name="Мои наименования показателей 3 2 2" xfId="1778"/>
    <cellStyle name="Мои наименования показателей 3 3" xfId="1779"/>
    <cellStyle name="Мои наименования показателей 3 3 2" xfId="1780"/>
    <cellStyle name="Мои наименования показателей 3 4" xfId="1781"/>
    <cellStyle name="Мои наименования показателей 3 4 2" xfId="1782"/>
    <cellStyle name="Мои наименования показателей 3 5" xfId="1783"/>
    <cellStyle name="Мои наименования показателей 3 5 2" xfId="1784"/>
    <cellStyle name="Мои наименования показателей 3 6" xfId="1785"/>
    <cellStyle name="Мои наименования показателей 3 6 2" xfId="1786"/>
    <cellStyle name="Мои наименования показателей 3 7" xfId="1787"/>
    <cellStyle name="Мои наименования показателей 3 7 2" xfId="1788"/>
    <cellStyle name="Мои наименования показателей 3 8" xfId="1789"/>
    <cellStyle name="Мои наименования показателей 3 8 2" xfId="1790"/>
    <cellStyle name="Мои наименования показателей 3 9" xfId="1791"/>
    <cellStyle name="Мои наименования показателей 3_1" xfId="1792"/>
    <cellStyle name="Мои наименования показателей 4" xfId="1793"/>
    <cellStyle name="Мои наименования показателей 4 2" xfId="1794"/>
    <cellStyle name="Мои наименования показателей 4 2 2" xfId="1795"/>
    <cellStyle name="Мои наименования показателей 4 3" xfId="1796"/>
    <cellStyle name="Мои наименования показателей 4 3 2" xfId="1797"/>
    <cellStyle name="Мои наименования показателей 4 4" xfId="1798"/>
    <cellStyle name="Мои наименования показателей 4 4 2" xfId="1799"/>
    <cellStyle name="Мои наименования показателей 4 5" xfId="1800"/>
    <cellStyle name="Мои наименования показателей 4 5 2" xfId="1801"/>
    <cellStyle name="Мои наименования показателей 4 6" xfId="1802"/>
    <cellStyle name="Мои наименования показателей 4 6 2" xfId="1803"/>
    <cellStyle name="Мои наименования показателей 4 7" xfId="1804"/>
    <cellStyle name="Мои наименования показателей 4 7 2" xfId="1805"/>
    <cellStyle name="Мои наименования показателей 4 8" xfId="1806"/>
    <cellStyle name="Мои наименования показателей 4 8 2" xfId="1807"/>
    <cellStyle name="Мои наименования показателей 4 9" xfId="1808"/>
    <cellStyle name="Мои наименования показателей 4_1" xfId="1809"/>
    <cellStyle name="Мои наименования показателей 5" xfId="1810"/>
    <cellStyle name="Мои наименования показателей 5 2" xfId="1811"/>
    <cellStyle name="Мои наименования показателей 5 2 2" xfId="1812"/>
    <cellStyle name="Мои наименования показателей 5 3" xfId="1813"/>
    <cellStyle name="Мои наименования показателей 5 3 2" xfId="1814"/>
    <cellStyle name="Мои наименования показателей 5 4" xfId="1815"/>
    <cellStyle name="Мои наименования показателей 5 4 2" xfId="1816"/>
    <cellStyle name="Мои наименования показателей 5 5" xfId="1817"/>
    <cellStyle name="Мои наименования показателей 5 5 2" xfId="1818"/>
    <cellStyle name="Мои наименования показателей 5 6" xfId="1819"/>
    <cellStyle name="Мои наименования показателей 5 6 2" xfId="1820"/>
    <cellStyle name="Мои наименования показателей 5 7" xfId="1821"/>
    <cellStyle name="Мои наименования показателей 5 7 2" xfId="1822"/>
    <cellStyle name="Мои наименования показателей 5 8" xfId="1823"/>
    <cellStyle name="Мои наименования показателей 5 8 2" xfId="1824"/>
    <cellStyle name="Мои наименования показателей 5 9" xfId="1825"/>
    <cellStyle name="Мои наименования показателей 5_1" xfId="1826"/>
    <cellStyle name="Мои наименования показателей 6" xfId="1827"/>
    <cellStyle name="Мои наименования показателей 6 2" xfId="1828"/>
    <cellStyle name="Мои наименования показателей 6 2 2" xfId="1829"/>
    <cellStyle name="Мои наименования показателей 6 3" xfId="1830"/>
    <cellStyle name="Мои наименования показателей 6_46EE.2011(v1.0)" xfId="1831"/>
    <cellStyle name="Мои наименования показателей 7" xfId="1832"/>
    <cellStyle name="Мои наименования показателей 7 2" xfId="1833"/>
    <cellStyle name="Мои наименования показателей 7 2 2" xfId="1834"/>
    <cellStyle name="Мои наименования показателей 7 3" xfId="1835"/>
    <cellStyle name="Мои наименования показателей 7_46EE.2011(v1.0)" xfId="1836"/>
    <cellStyle name="Мои наименования показателей 8" xfId="1837"/>
    <cellStyle name="Мои наименования показателей 8 2" xfId="1838"/>
    <cellStyle name="Мои наименования показателей 8 2 2" xfId="1839"/>
    <cellStyle name="Мои наименования показателей 8 3" xfId="1840"/>
    <cellStyle name="Мои наименования показателей 8_46EE.2011(v1.0)" xfId="1841"/>
    <cellStyle name="Мои наименования показателей 9" xfId="1842"/>
    <cellStyle name="Мои наименования показателей_46EE.2011" xfId="1843"/>
    <cellStyle name="назв фил" xfId="1844"/>
    <cellStyle name="Название 10" xfId="1845"/>
    <cellStyle name="Название 2" xfId="1846"/>
    <cellStyle name="Название 2 2" xfId="1847"/>
    <cellStyle name="Название 3" xfId="1848"/>
    <cellStyle name="Название 3 2" xfId="1849"/>
    <cellStyle name="Название 4" xfId="1850"/>
    <cellStyle name="Название 4 2" xfId="1851"/>
    <cellStyle name="Название 5" xfId="1852"/>
    <cellStyle name="Название 5 2" xfId="1853"/>
    <cellStyle name="Название 6" xfId="1854"/>
    <cellStyle name="Название 6 2" xfId="1855"/>
    <cellStyle name="Название 7" xfId="1856"/>
    <cellStyle name="Название 7 2" xfId="1857"/>
    <cellStyle name="Название 8" xfId="1858"/>
    <cellStyle name="Название 8 2" xfId="1859"/>
    <cellStyle name="Название 9" xfId="1860"/>
    <cellStyle name="Название 9 2" xfId="1861"/>
    <cellStyle name="Невидимый" xfId="1862"/>
    <cellStyle name="Нейтральный 10" xfId="1863"/>
    <cellStyle name="Нейтральный 2" xfId="1864"/>
    <cellStyle name="Нейтральный 2 2" xfId="1865"/>
    <cellStyle name="Нейтральный 3" xfId="1866"/>
    <cellStyle name="Нейтральный 3 2" xfId="1867"/>
    <cellStyle name="Нейтральный 4" xfId="1868"/>
    <cellStyle name="Нейтральный 4 2" xfId="1869"/>
    <cellStyle name="Нейтральный 5" xfId="1870"/>
    <cellStyle name="Нейтральный 5 2" xfId="1871"/>
    <cellStyle name="Нейтральный 6" xfId="1872"/>
    <cellStyle name="Нейтральный 6 2" xfId="1873"/>
    <cellStyle name="Нейтральный 7" xfId="1874"/>
    <cellStyle name="Нейтральный 7 2" xfId="1875"/>
    <cellStyle name="Нейтральный 8" xfId="1876"/>
    <cellStyle name="Нейтральный 8 2" xfId="1877"/>
    <cellStyle name="Нейтральный 9" xfId="1878"/>
    <cellStyle name="Нейтральный 9 2" xfId="1879"/>
    <cellStyle name="Низ1" xfId="1880"/>
    <cellStyle name="Низ2" xfId="1881"/>
    <cellStyle name="Обычный" xfId="0" builtinId="0"/>
    <cellStyle name="Обычный 10" xfId="1882"/>
    <cellStyle name="Обычный 11" xfId="1883"/>
    <cellStyle name="Обычный 11 2" xfId="1884"/>
    <cellStyle name="Обычный 11_INDEX.STATION.2012(v1.0)_" xfId="1885"/>
    <cellStyle name="Обычный 12" xfId="1886"/>
    <cellStyle name="Обычный 12 4" xfId="1887"/>
    <cellStyle name="Обычный 13" xfId="1888"/>
    <cellStyle name="Обычный 13 2" xfId="1889"/>
    <cellStyle name="Обычный 14" xfId="1890"/>
    <cellStyle name="Обычный 15" xfId="1891"/>
    <cellStyle name="Обычный 16" xfId="1892"/>
    <cellStyle name="Обычный 17" xfId="1893"/>
    <cellStyle name="Обычный 18" xfId="1894"/>
    <cellStyle name="Обычный 2" xfId="1895"/>
    <cellStyle name="Обычный 2 10" xfId="1896"/>
    <cellStyle name="Обычный 2 11" xfId="1897"/>
    <cellStyle name="Обычный 2 12" xfId="1898"/>
    <cellStyle name="Обычный 2 13" xfId="1899"/>
    <cellStyle name="Обычный 2 2" xfId="1900"/>
    <cellStyle name="Обычный 2 2 2" xfId="1901"/>
    <cellStyle name="Обычный 2 2 2 2" xfId="1902"/>
    <cellStyle name="Обычный 2 2 2_Таблица 4.9 ОР" xfId="1903"/>
    <cellStyle name="Обычный 2 2 3" xfId="1904"/>
    <cellStyle name="Обычный 2 2 4" xfId="1905"/>
    <cellStyle name="Обычный 2 2_46EE.2011(v1.0)" xfId="1906"/>
    <cellStyle name="Обычный 2 3" xfId="1907"/>
    <cellStyle name="Обычный 2 3 2" xfId="1908"/>
    <cellStyle name="Обычный 2 3 2 2" xfId="1909"/>
    <cellStyle name="Обычный 2 3 2_Таблица 4.9 ОР" xfId="1910"/>
    <cellStyle name="Обычный 2 3 3" xfId="1911"/>
    <cellStyle name="Обычный 2 3_46EE.2011(v1.0)" xfId="1912"/>
    <cellStyle name="Обычный 2 4" xfId="1913"/>
    <cellStyle name="Обычный 2 4 2" xfId="1914"/>
    <cellStyle name="Обычный 2 4 2 2" xfId="1915"/>
    <cellStyle name="Обычный 2 4 3" xfId="1916"/>
    <cellStyle name="Обычный 2 4_46EE.2011(v1.0)" xfId="1917"/>
    <cellStyle name="Обычный 2 5" xfId="1918"/>
    <cellStyle name="Обычный 2 5 2" xfId="1919"/>
    <cellStyle name="Обычный 2 5 2 2" xfId="1920"/>
    <cellStyle name="Обычный 2 5 3" xfId="1921"/>
    <cellStyle name="Обычный 2 5_46EE.2011(v1.0)" xfId="1922"/>
    <cellStyle name="Обычный 2 6" xfId="1923"/>
    <cellStyle name="Обычный 2 6 2" xfId="1924"/>
    <cellStyle name="Обычный 2 6 2 2" xfId="1925"/>
    <cellStyle name="Обычный 2 6 3" xfId="1926"/>
    <cellStyle name="Обычный 2 6_46EE.2011(v1.0)" xfId="1927"/>
    <cellStyle name="Обычный 2 7" xfId="1928"/>
    <cellStyle name="Обычный 2 8" xfId="1929"/>
    <cellStyle name="Обычный 2 9" xfId="1930"/>
    <cellStyle name="Обычный 2_1" xfId="1931"/>
    <cellStyle name="Обычный 3" xfId="1932"/>
    <cellStyle name="Обычный 3 2" xfId="1"/>
    <cellStyle name="Обычный 3 2 2" xfId="1933"/>
    <cellStyle name="Обычный 3 3" xfId="1934"/>
    <cellStyle name="Обычный 3 3 2" xfId="1935"/>
    <cellStyle name="Обычный 3 3_Лист2" xfId="1936"/>
    <cellStyle name="Обычный 3 4" xfId="1937"/>
    <cellStyle name="Обычный 4" xfId="1938"/>
    <cellStyle name="Обычный 4 2" xfId="1939"/>
    <cellStyle name="Обычный 4 2 2" xfId="1940"/>
    <cellStyle name="Обычный 4 2 3" xfId="1941"/>
    <cellStyle name="Обычный 4 2 4" xfId="1942"/>
    <cellStyle name="Обычный 4 2_BALANCE.WARM.2011YEAR(v1.5)" xfId="1943"/>
    <cellStyle name="Обычный 4_EE.20.MET.SVOD.2.73_v0.1" xfId="1944"/>
    <cellStyle name="Обычный 5" xfId="1945"/>
    <cellStyle name="Обычный 6" xfId="1946"/>
    <cellStyle name="Обычный 7" xfId="1947"/>
    <cellStyle name="Обычный 8" xfId="1948"/>
    <cellStyle name="Обычный 9" xfId="1949"/>
    <cellStyle name="Ошибка" xfId="1950"/>
    <cellStyle name="Плохой 10" xfId="1951"/>
    <cellStyle name="Плохой 2" xfId="1952"/>
    <cellStyle name="Плохой 2 2" xfId="1953"/>
    <cellStyle name="Плохой 3" xfId="1954"/>
    <cellStyle name="Плохой 3 2" xfId="1955"/>
    <cellStyle name="Плохой 4" xfId="1956"/>
    <cellStyle name="Плохой 4 2" xfId="1957"/>
    <cellStyle name="Плохой 5" xfId="1958"/>
    <cellStyle name="Плохой 5 2" xfId="1959"/>
    <cellStyle name="Плохой 6" xfId="1960"/>
    <cellStyle name="Плохой 6 2" xfId="1961"/>
    <cellStyle name="Плохой 7" xfId="1962"/>
    <cellStyle name="Плохой 7 2" xfId="1963"/>
    <cellStyle name="Плохой 8" xfId="1964"/>
    <cellStyle name="Плохой 8 2" xfId="1965"/>
    <cellStyle name="Плохой 9" xfId="1966"/>
    <cellStyle name="Плохой 9 2" xfId="1967"/>
    <cellStyle name="По центру с переносом" xfId="1968"/>
    <cellStyle name="По центру с переносом 2" xfId="1969"/>
    <cellStyle name="По центру с переносом 3" xfId="1970"/>
    <cellStyle name="По центру с переносом 4" xfId="1971"/>
    <cellStyle name="По ширине с переносом" xfId="1972"/>
    <cellStyle name="По ширине с переносом 2" xfId="1973"/>
    <cellStyle name="По ширине с переносом 3" xfId="1974"/>
    <cellStyle name="По ширине с переносом 4" xfId="1975"/>
    <cellStyle name="Подгруппа" xfId="1976"/>
    <cellStyle name="Поле ввода" xfId="1977"/>
    <cellStyle name="Пояснение 10" xfId="1978"/>
    <cellStyle name="Пояснение 2" xfId="1979"/>
    <cellStyle name="Пояснение 2 2" xfId="1980"/>
    <cellStyle name="Пояснение 3" xfId="1981"/>
    <cellStyle name="Пояснение 3 2" xfId="1982"/>
    <cellStyle name="Пояснение 4" xfId="1983"/>
    <cellStyle name="Пояснение 4 2" xfId="1984"/>
    <cellStyle name="Пояснение 5" xfId="1985"/>
    <cellStyle name="Пояснение 5 2" xfId="1986"/>
    <cellStyle name="Пояснение 6" xfId="1987"/>
    <cellStyle name="Пояснение 6 2" xfId="1988"/>
    <cellStyle name="Пояснение 7" xfId="1989"/>
    <cellStyle name="Пояснение 7 2" xfId="1990"/>
    <cellStyle name="Пояснение 8" xfId="1991"/>
    <cellStyle name="Пояснение 8 2" xfId="1992"/>
    <cellStyle name="Пояснение 9" xfId="1993"/>
    <cellStyle name="Пояснение 9 2" xfId="1994"/>
    <cellStyle name="Примечание 10" xfId="1995"/>
    <cellStyle name="Примечание 10 2" xfId="1996"/>
    <cellStyle name="Примечание 10 3" xfId="1997"/>
    <cellStyle name="Примечание 10 4" xfId="1998"/>
    <cellStyle name="Примечание 10_46EE.2011(v1.0)" xfId="1999"/>
    <cellStyle name="Примечание 11" xfId="2000"/>
    <cellStyle name="Примечание 11 2" xfId="2001"/>
    <cellStyle name="Примечание 11 3" xfId="2002"/>
    <cellStyle name="Процентный 2" xfId="2003"/>
    <cellStyle name="Стиль 1" xfId="2004"/>
    <cellStyle name="Текстовый" xfId="2005"/>
    <cellStyle name="Тысячи [0]_3Com" xfId="2006"/>
    <cellStyle name="Тысячи_3Com" xfId="2007"/>
    <cellStyle name="Формула" xfId="2008"/>
    <cellStyle name="ФормулаВБ" xfId="2009"/>
    <cellStyle name="ФормулаНаКонтроль" xfId="2010"/>
    <cellStyle name="㼿" xfId="2011"/>
    <cellStyle name="㼿?" xfId="2012"/>
    <cellStyle name="㼿_ДЭС" xfId="2013"/>
    <cellStyle name="㼿_ЭСРЭ_2015" xfId="2014"/>
    <cellStyle name="㼿㼿" xfId="2015"/>
    <cellStyle name="㼿㼿?" xfId="2016"/>
    <cellStyle name="㼿㼿㼿" xfId="2017"/>
    <cellStyle name="㼿㼿㼿?" xfId="2018"/>
    <cellStyle name="㼿㼿㼿_ДЭС" xfId="2019"/>
    <cellStyle name="㼿㼿㼿㼿" xfId="2020"/>
    <cellStyle name="㼿㼿㼿㼿?" xfId="2021"/>
    <cellStyle name="㼿㼿㼿㼿_ДЭС" xfId="2022"/>
    <cellStyle name="㼿㼿㼿㼿㼿" xfId="202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S.TARIFF.REQUEST.I__&#1055;&#1045;&#1056;&#1045;&#1044;&#1040;&#1063;&#1040;%20&#1091;&#1090;&#1074;&#1077;&#1088;&#1078;&#1076;%20&#1056;&#1057;&#105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S.TARIFF.REQUEST.I_&#1050;&#1054;&#1052;&#1041;&#1048;%20&#1091;&#1090;&#1074;&#1077;&#1088;&#1078;&#1076;&#1077;&#1085;&#1086;%20&#1085;&#1072;%202017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1;&#1077;&#1074;&#1095;&#1077;&#1085;&#1082;&#1086;/&#1054;&#1090;&#1076;&#1077;&#1083;%20&#1090;&#1077;&#1087;&#1083;&#1086;&#1101;&#1085;&#1077;&#1088;&#1075;&#1077;&#1090;&#1080;&#1082;&#1080;/&#1064;&#1072;&#1073;&#1083;&#1086;&#1085;&#1099;%20&#1060;&#1057;&#1058;/&#1055;&#1086;%20&#1052;&#1077;&#1090;&#1086;&#1076;&#1080;&#1082;&#1077;%20760-&#1101;%20&#1086;&#1090;%2013.06.2013/&#1052;&#1077;&#1090;&#1086;&#1076;%20&#1069;&#1054;&#1056;/2015%20&#1075;&#1086;&#1076;/R.TS.TARIFF.REQUEST.E.3.61(v2.0a)_&#1087;&#1088;&#1086;&#1073;&#107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1;&#1077;&#1074;&#1095;&#1077;&#1085;&#1082;&#1086;/&#1054;&#1090;&#1076;&#1077;&#1083;%20&#1090;&#1077;&#1087;&#1083;&#1086;&#1101;&#1085;&#1077;&#1088;&#1075;&#1077;&#1090;&#1080;&#1082;&#1080;/&#1064;&#1072;&#1073;&#1083;&#1086;&#1085;&#1099;%20&#1060;&#1057;&#1058;/&#1055;&#1086;%20&#1052;&#1077;&#1090;&#1086;&#1076;&#1080;&#1082;&#1077;%20760-&#1101;%20&#1086;&#1090;%2013.06.2013/&#1052;&#1077;&#1090;&#1086;&#1076;%20&#1069;&#1054;&#1056;/2015%20&#1075;&#1086;&#1076;/TS.TARIFF.REQUEST.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Точность"/>
      <sheetName val="стандарты"/>
      <sheetName val="ПО по МО"/>
      <sheetName val="таблица1"/>
      <sheetName val="Исходные данные"/>
      <sheetName val="Факт"/>
      <sheetName val="И 3.1"/>
      <sheetName val="Таблица 3.1"/>
      <sheetName val="И.4.1_ПО ТЭ"/>
      <sheetName val="Таблица 4.1"/>
      <sheetName val="И.4.2_ПО ТН"/>
      <sheetName val="Таблица 4.2"/>
      <sheetName val="И.4.3_Стр.ПО ТЭ"/>
      <sheetName val="Таблица 4.3"/>
      <sheetName val="таблица3"/>
      <sheetName val="Сырье ОР"/>
      <sheetName val="И.Доп.к статье 1.2"/>
      <sheetName val="Ремонт ОР"/>
      <sheetName val="Численность ОР"/>
      <sheetName val="Таблица 8"/>
      <sheetName val="Таблица 4.9 ОР"/>
      <sheetName val="таблица5"/>
      <sheetName val="Работы и услуги ОР"/>
      <sheetName val="И.Доп.к статье 1.5"/>
      <sheetName val="Иные работы ОР"/>
      <sheetName val="И.таблица10"/>
      <sheetName val="Прочие ОР"/>
      <sheetName val="И.прил.2"/>
      <sheetName val="У.Е."/>
      <sheetName val="И.5.2_ОР.периоды"/>
      <sheetName val="И.5.1_ОР"/>
      <sheetName val="Таблица 5.2"/>
      <sheetName val="Таблица 5.1"/>
      <sheetName val="И.Доп.к статье 2.1"/>
      <sheetName val="Рег.услуги НР"/>
      <sheetName val="И.таблица9"/>
      <sheetName val="Таблица 4.10 НР"/>
      <sheetName val="И.Прочие неподконтрольные"/>
      <sheetName val="Прочие НР"/>
      <sheetName val="И.Налог на прибыль"/>
      <sheetName val="Налог на прибыль НР"/>
      <sheetName val="И.5.3_НР"/>
      <sheetName val="Таблица 5.3"/>
      <sheetName val="И.4.8_ХВС и ТН"/>
      <sheetName val="4.4_Топливо"/>
      <sheetName val="4.5_Баланс топлива"/>
      <sheetName val="Таблица 4.5"/>
      <sheetName val="Таблица6"/>
      <sheetName val="Топливо(ТСО)"/>
      <sheetName val="таблица7"/>
      <sheetName val="Топливо(РСТ)"/>
      <sheetName val="Таблица 4.4"/>
      <sheetName val="Таблица 4.7"/>
      <sheetName val="Таблица 4.8"/>
      <sheetName val="И.5.4_ресурс."/>
      <sheetName val="Таблица 4.12"/>
      <sheetName val="Таблица 5.4"/>
      <sheetName val="И.5.5_Эк.ОР"/>
      <sheetName val="Таблица 5.5"/>
      <sheetName val="И.5.6_Эк.топл"/>
      <sheetName val="Таблица 5.6"/>
      <sheetName val="И.5.7_Эк.пр.рес"/>
      <sheetName val="Таблица 5.7"/>
      <sheetName val="И.Прибыль"/>
      <sheetName val="Прибыль"/>
      <sheetName val="И.Результаты деятельности"/>
      <sheetName val="Результаты деятельности"/>
      <sheetName val="И.смета"/>
      <sheetName val="Смета"/>
      <sheetName val="Смета комбин"/>
      <sheetName val="Заключение"/>
      <sheetName val="ДПР"/>
      <sheetName val="Для справки"/>
      <sheetName val="Прил.к п.4.1 "/>
      <sheetName val="Основания"/>
      <sheetName val="Прил.к Протоколу"/>
      <sheetName val="И.6.1"/>
      <sheetName val="И.6.2"/>
      <sheetName val="И.6.3"/>
      <sheetName val="И.6.4"/>
      <sheetName val="И.6.5"/>
      <sheetName val="И.6.6"/>
      <sheetName val="И.6.7"/>
      <sheetName val="И.6.8"/>
      <sheetName val="Комментарии"/>
      <sheetName val="Проверка"/>
      <sheetName val="modInfo"/>
      <sheetName val="mod20020frmReestr"/>
      <sheetName val="et_col_union"/>
      <sheetName val="et_union"/>
      <sheetName val="TEHSHEET"/>
      <sheetName val="modUpdTemplMain"/>
      <sheetName val="modfrmCheckUpdates"/>
      <sheetName val="modfrmUpdateIsInProgress"/>
      <sheetName val="mod_00"/>
      <sheetName val="mod_01"/>
      <sheetName val="mod_02"/>
      <sheetName val="mod_03"/>
      <sheetName val="mod_04"/>
      <sheetName val="mod_05"/>
      <sheetName val="mod_08"/>
      <sheetName val="mod_11"/>
      <sheetName val="mod_12"/>
      <sheetName val="mod_13"/>
      <sheetName val="mod_15"/>
      <sheetName val="mod_16"/>
      <sheetName val="mod_17"/>
      <sheetName val="mod_19"/>
      <sheetName val="mod_20"/>
      <sheetName val="mod_21"/>
      <sheetName val="mod_22"/>
      <sheetName val="mod_23"/>
      <sheetName val="mod_24"/>
      <sheetName val="mod_28"/>
      <sheetName val="mod_29"/>
      <sheetName val="mod_30"/>
      <sheetName val="mod_32"/>
      <sheetName val="mod_34"/>
      <sheetName val="mod_37"/>
      <sheetName val="mod_43"/>
      <sheetName val="mod_44"/>
      <sheetName val="mod_45"/>
      <sheetName val="mod_47"/>
      <sheetName val="mod_52"/>
      <sheetName val="mod_53"/>
      <sheetName val="mod_54"/>
      <sheetName val="mod_56"/>
      <sheetName val="mod_57"/>
      <sheetName val="mod_58"/>
      <sheetName val="mod_59"/>
      <sheetName val="mod_60"/>
      <sheetName val="mod_61"/>
      <sheetName val="mod_62"/>
      <sheetName val="mod_63"/>
      <sheetName val="mod_64"/>
      <sheetName val="mod_65"/>
      <sheetName val="mod_66"/>
      <sheetName val="mod_67"/>
      <sheetName val="modGlobalAddRange"/>
      <sheetName val="modfrmDateChoose"/>
      <sheetName val="modPROV"/>
      <sheetName val="modCommonProv"/>
      <sheetName val="modProvGeneralProc"/>
      <sheetName val="AllSheetsInThisWorkbook"/>
      <sheetName val="modReestr"/>
      <sheetName val="REESTR_MO"/>
      <sheetName val="REESTR_ORG"/>
      <sheetName val="modClassifierValidate"/>
      <sheetName val="modInstruction"/>
      <sheetName val="modCommandButton"/>
      <sheetName val="modHyp"/>
      <sheetName val="modChange"/>
      <sheetName val="modDblClick"/>
    </sheetNames>
    <sheetDataSet>
      <sheetData sheetId="0"/>
      <sheetData sheetId="1"/>
      <sheetData sheetId="2">
        <row r="8">
          <cell r="F8">
            <v>2016</v>
          </cell>
        </row>
        <row r="11">
          <cell r="F11" t="str">
            <v>да</v>
          </cell>
        </row>
        <row r="13">
          <cell r="F13" t="str">
            <v>нет</v>
          </cell>
        </row>
        <row r="15">
          <cell r="F15" t="str">
            <v>да</v>
          </cell>
        </row>
        <row r="17">
          <cell r="F17" t="str">
            <v>нет</v>
          </cell>
        </row>
        <row r="19">
          <cell r="F19" t="str">
            <v>нет</v>
          </cell>
        </row>
        <row r="32">
          <cell r="F32" t="str">
            <v>Филиал ПАО "ОГК-2" Новочеркасская ГРЭС</v>
          </cell>
        </row>
        <row r="34">
          <cell r="F34" t="str">
            <v>2607018122</v>
          </cell>
        </row>
        <row r="35">
          <cell r="F35" t="str">
            <v>615043001</v>
          </cell>
        </row>
        <row r="38">
          <cell r="F38" t="str">
            <v>Город Новочеркасск</v>
          </cell>
        </row>
        <row r="40">
          <cell r="F40" t="str">
            <v>Город Новочеркасск</v>
          </cell>
        </row>
        <row r="48">
          <cell r="F48" t="str">
            <v>нет</v>
          </cell>
        </row>
        <row r="73">
          <cell r="F73">
            <v>0</v>
          </cell>
        </row>
        <row r="74">
          <cell r="F74" t="str">
            <v>не является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BJ2">
            <v>0</v>
          </cell>
          <cell r="BT2">
            <v>0</v>
          </cell>
          <cell r="CD2">
            <v>0</v>
          </cell>
        </row>
        <row r="3">
          <cell r="BJ3">
            <v>0</v>
          </cell>
          <cell r="BT3">
            <v>0</v>
          </cell>
          <cell r="CD3">
            <v>0</v>
          </cell>
        </row>
        <row r="5"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Z5">
            <v>0</v>
          </cell>
          <cell r="CA5">
            <v>0</v>
          </cell>
          <cell r="CB5">
            <v>0</v>
          </cell>
          <cell r="CC5">
            <v>0</v>
          </cell>
          <cell r="CD5">
            <v>0</v>
          </cell>
        </row>
        <row r="6"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</row>
        <row r="7">
          <cell r="BJ7">
            <v>0</v>
          </cell>
          <cell r="BT7">
            <v>0</v>
          </cell>
          <cell r="CD7">
            <v>0</v>
          </cell>
        </row>
        <row r="8"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</row>
        <row r="9"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</row>
        <row r="10">
          <cell r="J10" t="str">
            <v>в том числе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R10" t="str">
            <v>в том числе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AB10" t="str">
            <v>в том числе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L10" t="str">
            <v>в том числе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V10" t="str">
            <v>в том числе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F10" t="str">
            <v>в том числе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P10" t="str">
            <v>в том числе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Z10" t="str">
            <v>в том числе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</row>
        <row r="11">
          <cell r="J11" t="str">
            <v>1,2 - 2,5 кгс/см2</v>
          </cell>
          <cell r="K11" t="str">
            <v>2,5 - 7,0 кгс/см2</v>
          </cell>
          <cell r="L11" t="str">
            <v>7,0 - 13,0 кгс/см2</v>
          </cell>
          <cell r="M11" t="str">
            <v>&gt; 13 кгс/см2</v>
          </cell>
          <cell r="N11" t="str">
            <v>острый и редуцированный пар</v>
          </cell>
          <cell r="R11" t="str">
            <v>1,2 - 2,5 кгс/см2</v>
          </cell>
          <cell r="S11" t="str">
            <v>2,5 - 7,0 кгс/см2</v>
          </cell>
          <cell r="T11" t="str">
            <v>7,0 - 13,0 кгс/см2</v>
          </cell>
          <cell r="U11" t="str">
            <v>&gt; 13 кгс/см2</v>
          </cell>
          <cell r="V11" t="str">
            <v>острый и редуцированный пар</v>
          </cell>
          <cell r="AB11" t="str">
            <v>1,2 - 2,5 кгс/см2</v>
          </cell>
          <cell r="AC11" t="str">
            <v>2,5 - 7,0 кгс/см2</v>
          </cell>
          <cell r="AD11" t="str">
            <v>7,0 - 13,0 кгс/см2</v>
          </cell>
          <cell r="AE11" t="str">
            <v>&gt; 13 кгс/см2</v>
          </cell>
          <cell r="AF11" t="str">
            <v>острый и редуцированный пар</v>
          </cell>
          <cell r="AL11" t="str">
            <v>1,2 - 2,5 кгс/см2</v>
          </cell>
          <cell r="AM11" t="str">
            <v>2,5 - 7,0 кгс/см2</v>
          </cell>
          <cell r="AN11" t="str">
            <v>7,0 - 13,0 кгс/см2</v>
          </cell>
          <cell r="AO11" t="str">
            <v>&gt; 13 кгс/см2</v>
          </cell>
          <cell r="AP11" t="str">
            <v>острый и редуцированный пар</v>
          </cell>
          <cell r="AV11" t="str">
            <v>1,2 - 2,5 кгс/см2</v>
          </cell>
          <cell r="AW11" t="str">
            <v>2,5 - 7,0 кгс/см2</v>
          </cell>
          <cell r="AX11" t="str">
            <v>7,0 - 13,0 кгс/см2</v>
          </cell>
          <cell r="AY11" t="str">
            <v>&gt; 13 кгс/см2</v>
          </cell>
          <cell r="AZ11" t="str">
            <v>острый и редуцированный пар</v>
          </cell>
          <cell r="BF11" t="str">
            <v>1,2 - 2,5 кгс/см2</v>
          </cell>
          <cell r="BG11" t="str">
            <v>2,5 - 7,0 кгс/см2</v>
          </cell>
          <cell r="BH11" t="str">
            <v>7,0 - 13,0 кгс/см2</v>
          </cell>
          <cell r="BI11" t="str">
            <v>&gt; 13 кгс/см2</v>
          </cell>
          <cell r="BJ11" t="str">
            <v>острый и редуцированный пар</v>
          </cell>
          <cell r="BP11" t="str">
            <v>1,2 - 2,5 кгс/см2</v>
          </cell>
          <cell r="BQ11" t="str">
            <v>2,5 - 7,0 кгс/см2</v>
          </cell>
          <cell r="BR11" t="str">
            <v>7,0 - 13,0 кгс/см2</v>
          </cell>
          <cell r="BS11" t="str">
            <v>&gt; 13 кгс/см2</v>
          </cell>
          <cell r="BT11" t="str">
            <v>острый и редуцированный пар</v>
          </cell>
          <cell r="BZ11" t="str">
            <v>1,2 - 2,5 кгс/см2</v>
          </cell>
          <cell r="CA11" t="str">
            <v>2,5 - 7,0 кгс/см2</v>
          </cell>
          <cell r="CB11" t="str">
            <v>7,0 - 13,0 кгс/см2</v>
          </cell>
          <cell r="CC11" t="str">
            <v>&gt; 13 кгс/см2</v>
          </cell>
          <cell r="CD11" t="str">
            <v>острый и редуцированный пар</v>
          </cell>
        </row>
        <row r="12">
          <cell r="J12">
            <v>6</v>
          </cell>
          <cell r="K12">
            <v>7</v>
          </cell>
          <cell r="L12">
            <v>8</v>
          </cell>
          <cell r="M12">
            <v>9</v>
          </cell>
          <cell r="N12">
            <v>10</v>
          </cell>
          <cell r="R12">
            <v>14</v>
          </cell>
          <cell r="S12">
            <v>15</v>
          </cell>
          <cell r="T12">
            <v>16</v>
          </cell>
          <cell r="U12">
            <v>17</v>
          </cell>
          <cell r="V12">
            <v>18</v>
          </cell>
          <cell r="AB12">
            <v>24</v>
          </cell>
          <cell r="AC12">
            <v>25</v>
          </cell>
          <cell r="AD12">
            <v>26</v>
          </cell>
          <cell r="AE12">
            <v>27</v>
          </cell>
          <cell r="AF12">
            <v>28</v>
          </cell>
          <cell r="AL12">
            <v>34</v>
          </cell>
          <cell r="AM12">
            <v>35</v>
          </cell>
          <cell r="AN12">
            <v>36</v>
          </cell>
          <cell r="AO12">
            <v>37</v>
          </cell>
          <cell r="AP12">
            <v>38</v>
          </cell>
          <cell r="AV12">
            <v>44</v>
          </cell>
          <cell r="AW12">
            <v>45</v>
          </cell>
          <cell r="AX12">
            <v>46</v>
          </cell>
          <cell r="AY12">
            <v>47</v>
          </cell>
          <cell r="AZ12">
            <v>48</v>
          </cell>
          <cell r="BF12">
            <v>54</v>
          </cell>
          <cell r="BG12">
            <v>55</v>
          </cell>
          <cell r="BH12">
            <v>56</v>
          </cell>
          <cell r="BI12">
            <v>57</v>
          </cell>
          <cell r="BJ12">
            <v>58</v>
          </cell>
          <cell r="BP12">
            <v>64</v>
          </cell>
          <cell r="BQ12">
            <v>65</v>
          </cell>
          <cell r="BR12">
            <v>66</v>
          </cell>
          <cell r="BS12">
            <v>67</v>
          </cell>
          <cell r="BT12">
            <v>68</v>
          </cell>
          <cell r="BZ12">
            <v>74</v>
          </cell>
          <cell r="CA12">
            <v>75</v>
          </cell>
          <cell r="CB12">
            <v>76</v>
          </cell>
          <cell r="CC12">
            <v>77</v>
          </cell>
          <cell r="CD12">
            <v>78</v>
          </cell>
        </row>
        <row r="13"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</row>
        <row r="14"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</row>
        <row r="15"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</row>
        <row r="17"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</row>
        <row r="18"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</row>
        <row r="20"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</row>
        <row r="21"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</row>
        <row r="25"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</row>
        <row r="26"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</row>
        <row r="27"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</row>
        <row r="28"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</row>
        <row r="30"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</row>
        <row r="31"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</row>
        <row r="37"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</row>
        <row r="41"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</row>
        <row r="50"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</row>
        <row r="52"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</row>
        <row r="54"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</row>
        <row r="55"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</row>
        <row r="56"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</row>
        <row r="57"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</row>
        <row r="63"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</row>
      </sheetData>
      <sheetData sheetId="12">
        <row r="39">
          <cell r="AG39">
            <v>34.019999999999996</v>
          </cell>
          <cell r="AH39">
            <v>20.149999999999999</v>
          </cell>
          <cell r="AI39">
            <v>54.17</v>
          </cell>
          <cell r="AQ39">
            <v>33.53</v>
          </cell>
          <cell r="AR39">
            <v>23.8</v>
          </cell>
          <cell r="AS39">
            <v>57.330000000000005</v>
          </cell>
          <cell r="BA39">
            <v>35.129999999999995</v>
          </cell>
          <cell r="BB39">
            <v>23.87</v>
          </cell>
          <cell r="BC39">
            <v>59</v>
          </cell>
          <cell r="BK39">
            <v>35.129999999999995</v>
          </cell>
          <cell r="BL39">
            <v>23.87</v>
          </cell>
          <cell r="BM39">
            <v>59</v>
          </cell>
          <cell r="BU39">
            <v>35.129999999999995</v>
          </cell>
          <cell r="BV39">
            <v>23.87</v>
          </cell>
          <cell r="BW39">
            <v>59</v>
          </cell>
          <cell r="CF39">
            <v>23.87</v>
          </cell>
          <cell r="CP39">
            <v>23.87</v>
          </cell>
        </row>
        <row r="44">
          <cell r="W44">
            <v>33.33</v>
          </cell>
          <cell r="X44">
            <v>26.32</v>
          </cell>
          <cell r="Y44">
            <v>59.65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1">
          <cell r="J11">
            <v>2800</v>
          </cell>
          <cell r="K11">
            <v>0</v>
          </cell>
          <cell r="M11">
            <v>0</v>
          </cell>
          <cell r="O11">
            <v>0</v>
          </cell>
          <cell r="R11">
            <v>1826.7</v>
          </cell>
          <cell r="T11">
            <v>1945.4355</v>
          </cell>
          <cell r="V11">
            <v>2051.3056135511247</v>
          </cell>
          <cell r="X11">
            <v>0</v>
          </cell>
        </row>
        <row r="12">
          <cell r="J12">
            <v>2813</v>
          </cell>
          <cell r="K12">
            <v>0</v>
          </cell>
          <cell r="M12">
            <v>0</v>
          </cell>
          <cell r="O12">
            <v>0</v>
          </cell>
          <cell r="R12">
            <v>3584.18</v>
          </cell>
          <cell r="T12">
            <v>3817.1516999999994</v>
          </cell>
          <cell r="V12">
            <v>4024.8801412260741</v>
          </cell>
          <cell r="X12">
            <v>0</v>
          </cell>
        </row>
        <row r="13">
          <cell r="J13">
            <v>5769.15</v>
          </cell>
          <cell r="K13">
            <v>0</v>
          </cell>
          <cell r="M13">
            <v>0</v>
          </cell>
          <cell r="O13">
            <v>0</v>
          </cell>
          <cell r="R13">
            <v>6329.5039785600011</v>
          </cell>
          <cell r="T13">
            <v>6740.9217371664008</v>
          </cell>
          <cell r="V13">
            <v>7107.761012872561</v>
          </cell>
          <cell r="X13">
            <v>0</v>
          </cell>
        </row>
        <row r="14">
          <cell r="J14">
            <v>2220.7399999999998</v>
          </cell>
          <cell r="K14">
            <v>0</v>
          </cell>
          <cell r="M14">
            <v>0</v>
          </cell>
          <cell r="N14">
            <v>2413.755032</v>
          </cell>
          <cell r="O14">
            <v>0</v>
          </cell>
          <cell r="R14">
            <v>2320.92</v>
          </cell>
          <cell r="T14">
            <v>2471.7797999999998</v>
          </cell>
          <cell r="V14">
            <v>2606.2934387710498</v>
          </cell>
          <cell r="X14">
            <v>0</v>
          </cell>
        </row>
        <row r="15">
          <cell r="J15">
            <v>1041.1999999999998</v>
          </cell>
          <cell r="K15">
            <v>0</v>
          </cell>
          <cell r="M15">
            <v>0</v>
          </cell>
          <cell r="O15">
            <v>0</v>
          </cell>
          <cell r="T15">
            <v>1158.7838999999999</v>
          </cell>
          <cell r="V15">
            <v>1221.8446301420249</v>
          </cell>
          <cell r="X15">
            <v>0</v>
          </cell>
        </row>
        <row r="16">
          <cell r="J16">
            <v>0</v>
          </cell>
          <cell r="K16">
            <v>0</v>
          </cell>
          <cell r="M16">
            <v>0</v>
          </cell>
          <cell r="O16">
            <v>0</v>
          </cell>
          <cell r="R16">
            <v>0</v>
          </cell>
          <cell r="T16">
            <v>0</v>
          </cell>
          <cell r="V16">
            <v>0</v>
          </cell>
          <cell r="X16">
            <v>0</v>
          </cell>
        </row>
        <row r="17">
          <cell r="J17">
            <v>0</v>
          </cell>
          <cell r="K17">
            <v>0</v>
          </cell>
          <cell r="M17">
            <v>0</v>
          </cell>
          <cell r="O17">
            <v>0</v>
          </cell>
          <cell r="R17">
            <v>0</v>
          </cell>
          <cell r="T17">
            <v>0</v>
          </cell>
          <cell r="V17">
            <v>0</v>
          </cell>
          <cell r="X17">
            <v>0</v>
          </cell>
        </row>
        <row r="18">
          <cell r="J18">
            <v>0</v>
          </cell>
          <cell r="K18">
            <v>0</v>
          </cell>
          <cell r="M18">
            <v>0</v>
          </cell>
          <cell r="O18">
            <v>0</v>
          </cell>
          <cell r="R18">
            <v>0</v>
          </cell>
          <cell r="T18">
            <v>0</v>
          </cell>
          <cell r="V18">
            <v>0</v>
          </cell>
          <cell r="X18">
            <v>0</v>
          </cell>
        </row>
        <row r="19">
          <cell r="J19">
            <v>0</v>
          </cell>
          <cell r="K19">
            <v>0</v>
          </cell>
          <cell r="M19">
            <v>0</v>
          </cell>
          <cell r="O19">
            <v>0</v>
          </cell>
          <cell r="R19">
            <v>0</v>
          </cell>
          <cell r="T19">
            <v>0</v>
          </cell>
          <cell r="V19">
            <v>0</v>
          </cell>
          <cell r="X19">
            <v>0</v>
          </cell>
        </row>
        <row r="20">
          <cell r="J20">
            <v>0</v>
          </cell>
          <cell r="K20">
            <v>0</v>
          </cell>
          <cell r="M20">
            <v>0</v>
          </cell>
          <cell r="O20">
            <v>0</v>
          </cell>
          <cell r="R20">
            <v>0</v>
          </cell>
          <cell r="T20">
            <v>0</v>
          </cell>
          <cell r="V20">
            <v>0</v>
          </cell>
          <cell r="X20">
            <v>0</v>
          </cell>
        </row>
        <row r="21">
          <cell r="J21">
            <v>1041.1999999999998</v>
          </cell>
          <cell r="K21">
            <v>0</v>
          </cell>
          <cell r="M21">
            <v>0</v>
          </cell>
          <cell r="O21">
            <v>0</v>
          </cell>
          <cell r="R21">
            <v>1088.06</v>
          </cell>
          <cell r="T21">
            <v>1158.7838999999999</v>
          </cell>
          <cell r="V21">
            <v>1221.8446301420249</v>
          </cell>
          <cell r="X21">
            <v>0</v>
          </cell>
        </row>
        <row r="22">
          <cell r="J22">
            <v>0</v>
          </cell>
          <cell r="K22">
            <v>0</v>
          </cell>
          <cell r="M22">
            <v>0</v>
          </cell>
          <cell r="N22">
            <v>60.32</v>
          </cell>
          <cell r="O22">
            <v>0</v>
          </cell>
          <cell r="R22">
            <v>58</v>
          </cell>
          <cell r="T22">
            <v>61.769999999999996</v>
          </cell>
          <cell r="V22">
            <v>65.131507957499991</v>
          </cell>
          <cell r="X22">
            <v>0</v>
          </cell>
        </row>
        <row r="23">
          <cell r="J23">
            <v>0</v>
          </cell>
          <cell r="K23">
            <v>0</v>
          </cell>
          <cell r="M23">
            <v>0</v>
          </cell>
          <cell r="O23">
            <v>0</v>
          </cell>
          <cell r="R23">
            <v>15.15</v>
          </cell>
          <cell r="T23">
            <v>16.13475</v>
          </cell>
          <cell r="V23">
            <v>17.012799061312499</v>
          </cell>
          <cell r="X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R24">
            <v>0</v>
          </cell>
          <cell r="T24">
            <v>0</v>
          </cell>
          <cell r="V24">
            <v>0</v>
          </cell>
          <cell r="X24">
            <v>0</v>
          </cell>
        </row>
        <row r="25">
          <cell r="J25">
            <v>0</v>
          </cell>
          <cell r="K25">
            <v>0</v>
          </cell>
          <cell r="M25">
            <v>0</v>
          </cell>
          <cell r="N25">
            <v>0</v>
          </cell>
          <cell r="O25">
            <v>0</v>
          </cell>
          <cell r="R25">
            <v>0</v>
          </cell>
          <cell r="T25">
            <v>0</v>
          </cell>
          <cell r="V25">
            <v>0</v>
          </cell>
          <cell r="X25">
            <v>0</v>
          </cell>
        </row>
        <row r="26">
          <cell r="J26">
            <v>0</v>
          </cell>
          <cell r="K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R26">
            <v>0</v>
          </cell>
          <cell r="T26">
            <v>0</v>
          </cell>
          <cell r="V26">
            <v>0</v>
          </cell>
          <cell r="X26">
            <v>0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11"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R11">
            <v>0</v>
          </cell>
          <cell r="T11">
            <v>0</v>
          </cell>
          <cell r="V11">
            <v>0</v>
          </cell>
          <cell r="X11">
            <v>0</v>
          </cell>
        </row>
        <row r="12"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R12">
            <v>0</v>
          </cell>
          <cell r="T12">
            <v>0</v>
          </cell>
          <cell r="V12">
            <v>0</v>
          </cell>
          <cell r="X12">
            <v>0</v>
          </cell>
        </row>
        <row r="13"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R13">
            <v>0</v>
          </cell>
          <cell r="T13">
            <v>0</v>
          </cell>
          <cell r="V13">
            <v>0</v>
          </cell>
          <cell r="X13">
            <v>0</v>
          </cell>
        </row>
        <row r="14">
          <cell r="J14">
            <v>1278.845</v>
          </cell>
          <cell r="K14">
            <v>0</v>
          </cell>
          <cell r="M14">
            <v>0</v>
          </cell>
          <cell r="O14">
            <v>0</v>
          </cell>
          <cell r="T14">
            <v>1506.03928</v>
          </cell>
          <cell r="V14">
            <v>1582.8472832799998</v>
          </cell>
          <cell r="X14">
            <v>0</v>
          </cell>
        </row>
        <row r="15">
          <cell r="J15">
            <v>0</v>
          </cell>
          <cell r="K15">
            <v>0</v>
          </cell>
          <cell r="M15">
            <v>0</v>
          </cell>
          <cell r="O15">
            <v>0</v>
          </cell>
          <cell r="R15">
            <v>0</v>
          </cell>
          <cell r="T15">
            <v>0</v>
          </cell>
          <cell r="V15">
            <v>0</v>
          </cell>
          <cell r="X15">
            <v>0</v>
          </cell>
        </row>
        <row r="16">
          <cell r="J16">
            <v>218.69</v>
          </cell>
          <cell r="K16">
            <v>0</v>
          </cell>
          <cell r="M16">
            <v>0</v>
          </cell>
          <cell r="O16">
            <v>0</v>
          </cell>
          <cell r="R16">
            <v>221.31</v>
          </cell>
          <cell r="T16">
            <v>230.16240000000002</v>
          </cell>
          <cell r="V16">
            <v>241.90068239999999</v>
          </cell>
          <cell r="X16">
            <v>0</v>
          </cell>
        </row>
        <row r="17">
          <cell r="J17">
            <v>1060.155</v>
          </cell>
          <cell r="K17">
            <v>0</v>
          </cell>
          <cell r="M17">
            <v>0</v>
          </cell>
          <cell r="O17">
            <v>0</v>
          </cell>
          <cell r="R17">
            <v>1227.4970000000001</v>
          </cell>
          <cell r="T17">
            <v>1275.87688</v>
          </cell>
          <cell r="V17">
            <v>1340.9466008799998</v>
          </cell>
          <cell r="X17">
            <v>0</v>
          </cell>
        </row>
        <row r="18">
          <cell r="J18">
            <v>1742.2832999999998</v>
          </cell>
          <cell r="K18">
            <v>0</v>
          </cell>
          <cell r="M18">
            <v>0</v>
          </cell>
          <cell r="O18">
            <v>0</v>
          </cell>
          <cell r="R18">
            <v>1911.5102015251202</v>
          </cell>
          <cell r="T18">
            <v>2035.7583646242531</v>
          </cell>
          <cell r="V18">
            <v>2146.5438258875133</v>
          </cell>
          <cell r="X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R19">
            <v>0</v>
          </cell>
          <cell r="T19">
            <v>0</v>
          </cell>
          <cell r="V19">
            <v>0</v>
          </cell>
          <cell r="X19">
            <v>0</v>
          </cell>
        </row>
        <row r="20">
          <cell r="J20">
            <v>5662</v>
          </cell>
          <cell r="K20">
            <v>5848</v>
          </cell>
          <cell r="M20">
            <v>5848</v>
          </cell>
          <cell r="O20">
            <v>5848</v>
          </cell>
          <cell r="R20">
            <v>5848</v>
          </cell>
          <cell r="T20">
            <v>5848</v>
          </cell>
          <cell r="V20">
            <v>5848</v>
          </cell>
          <cell r="X20">
            <v>0</v>
          </cell>
        </row>
        <row r="21"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R21">
            <v>0</v>
          </cell>
          <cell r="T21">
            <v>0</v>
          </cell>
          <cell r="V21">
            <v>0</v>
          </cell>
          <cell r="X21">
            <v>0</v>
          </cell>
        </row>
        <row r="22">
          <cell r="J22">
            <v>8683.1283000000003</v>
          </cell>
          <cell r="K22">
            <v>5848</v>
          </cell>
        </row>
        <row r="23">
          <cell r="J23">
            <v>0</v>
          </cell>
          <cell r="K23">
            <v>0</v>
          </cell>
          <cell r="M23">
            <v>0</v>
          </cell>
          <cell r="O23">
            <v>0</v>
          </cell>
          <cell r="R23">
            <v>108.18</v>
          </cell>
          <cell r="T23">
            <v>112.5072</v>
          </cell>
          <cell r="V23">
            <v>118.24506719999998</v>
          </cell>
          <cell r="X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R24">
            <v>0</v>
          </cell>
          <cell r="T24">
            <v>0</v>
          </cell>
          <cell r="V24">
            <v>0</v>
          </cell>
          <cell r="X24">
            <v>0</v>
          </cell>
        </row>
      </sheetData>
      <sheetData sheetId="46"/>
      <sheetData sheetId="47"/>
      <sheetData sheetId="48"/>
      <sheetData sheetId="49"/>
      <sheetData sheetId="50">
        <row r="39">
          <cell r="D39" t="str">
            <v>Расходы на топливо на 2017 год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</row>
        <row r="40">
          <cell r="D40">
            <v>0</v>
          </cell>
          <cell r="E40">
            <v>0</v>
          </cell>
          <cell r="F40" t="str">
            <v>Затраты на топливо с 01.01.2017 по 30.06.2017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</row>
        <row r="42">
          <cell r="D42">
            <v>0</v>
          </cell>
          <cell r="E42">
            <v>0</v>
          </cell>
          <cell r="F42" t="str">
            <v>№ п/п</v>
          </cell>
          <cell r="G42" t="str">
            <v>Вид используемого топлива</v>
          </cell>
          <cell r="H42" t="str">
            <v>Отпуск тепловой энергии, тыс.Гкал</v>
          </cell>
          <cell r="I42">
            <v>0</v>
          </cell>
          <cell r="J42" t="str">
            <v>НУР, кг.у.т./Гкал</v>
          </cell>
          <cell r="K42" t="str">
            <v>Расход условного топлива, т.у.т</v>
          </cell>
          <cell r="L42" t="str">
            <v>Принимаемая в расчет калорийность топлива</v>
          </cell>
          <cell r="M42" t="str">
            <v>Переводной коэффициент в натуральное топливо</v>
          </cell>
          <cell r="N42" t="str">
            <v>Расход натурального топлива, тнт (м3)</v>
          </cell>
          <cell r="O42" t="str">
            <v>Затраты на топливо, тыс.руб. (c НДС)</v>
          </cell>
          <cell r="P42" t="str">
            <v>ИТОГО затраты на топливо, тыс.руб. (c НДС)</v>
          </cell>
          <cell r="Q42">
            <v>0</v>
          </cell>
          <cell r="R42">
            <v>0</v>
          </cell>
          <cell r="S42">
            <v>0</v>
          </cell>
        </row>
        <row r="43">
          <cell r="D43">
            <v>0</v>
          </cell>
          <cell r="E43">
            <v>0</v>
          </cell>
          <cell r="F43" t="str">
            <v>1</v>
          </cell>
          <cell r="G43" t="str">
            <v>2</v>
          </cell>
          <cell r="H43" t="str">
            <v>3</v>
          </cell>
          <cell r="I43">
            <v>0</v>
          </cell>
          <cell r="J43" t="str">
            <v>4</v>
          </cell>
          <cell r="K43" t="str">
            <v>5</v>
          </cell>
          <cell r="L43" t="str">
            <v>6</v>
          </cell>
          <cell r="M43" t="str">
            <v>7</v>
          </cell>
          <cell r="N43" t="str">
            <v>8</v>
          </cell>
          <cell r="O43" t="str">
            <v>9</v>
          </cell>
          <cell r="P43" t="str">
            <v>10</v>
          </cell>
          <cell r="Q43">
            <v>0</v>
          </cell>
          <cell r="R43">
            <v>0</v>
          </cell>
          <cell r="S43">
            <v>0</v>
          </cell>
        </row>
        <row r="44">
          <cell r="A44">
            <v>2</v>
          </cell>
          <cell r="D44">
            <v>0</v>
          </cell>
          <cell r="E44">
            <v>0</v>
          </cell>
          <cell r="F44">
            <v>1</v>
          </cell>
          <cell r="G44" t="str">
            <v/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 t="str">
            <v>О</v>
          </cell>
          <cell r="F45" t="str">
            <v>2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 t="str">
            <v>О</v>
          </cell>
          <cell r="F46" t="str">
            <v>3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 t="str">
            <v>О</v>
          </cell>
          <cell r="F47" t="str">
            <v>4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E48" t="str">
            <v>О</v>
          </cell>
          <cell r="F48" t="str">
            <v>5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 t="str">
            <v>О</v>
          </cell>
          <cell r="F49" t="str">
            <v>6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 t="str">
            <v>Добавить вид топлива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</row>
        <row r="54">
          <cell r="D54">
            <v>0</v>
          </cell>
          <cell r="E54">
            <v>0</v>
          </cell>
          <cell r="F54" t="str">
            <v>Затраты на топливо с 01.07.2017 по 31.12.2017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</row>
        <row r="56">
          <cell r="D56">
            <v>0</v>
          </cell>
          <cell r="E56">
            <v>0</v>
          </cell>
          <cell r="F56" t="str">
            <v>№ п/п</v>
          </cell>
          <cell r="G56" t="str">
            <v>Вид используемого топлива</v>
          </cell>
          <cell r="H56" t="str">
            <v>Отпуск тепловой энергии, тыс.Гкал</v>
          </cell>
          <cell r="I56">
            <v>0</v>
          </cell>
          <cell r="J56" t="str">
            <v>НУР, кг.у.т./Гкал</v>
          </cell>
          <cell r="K56" t="str">
            <v>Расход условного топлива, т.у.т</v>
          </cell>
          <cell r="L56" t="str">
            <v>Принимаемая в расчет калорийность топлива</v>
          </cell>
          <cell r="M56" t="str">
            <v>Переводной коэффициент в натуральное топливо</v>
          </cell>
          <cell r="N56" t="str">
            <v>Расход натурального топлива, тнт (м3)</v>
          </cell>
          <cell r="O56" t="str">
            <v>Затраты на топливо, тыс.руб. (c НДС)</v>
          </cell>
          <cell r="P56" t="str">
            <v>ИТОГО затраты на топливо, тыс.руб. (c НДС)</v>
          </cell>
          <cell r="Q56">
            <v>0</v>
          </cell>
          <cell r="R56">
            <v>0</v>
          </cell>
          <cell r="S56">
            <v>0</v>
          </cell>
        </row>
        <row r="57">
          <cell r="D57">
            <v>0</v>
          </cell>
          <cell r="E57">
            <v>0</v>
          </cell>
          <cell r="F57" t="str">
            <v>1</v>
          </cell>
          <cell r="G57" t="str">
            <v>2</v>
          </cell>
          <cell r="H57" t="str">
            <v>3</v>
          </cell>
          <cell r="I57">
            <v>0</v>
          </cell>
          <cell r="J57" t="str">
            <v>4</v>
          </cell>
          <cell r="K57" t="str">
            <v>5</v>
          </cell>
          <cell r="L57" t="str">
            <v>6</v>
          </cell>
          <cell r="M57" t="str">
            <v>7</v>
          </cell>
          <cell r="N57" t="str">
            <v>8</v>
          </cell>
          <cell r="O57" t="str">
            <v>9</v>
          </cell>
          <cell r="P57" t="str">
            <v>10</v>
          </cell>
          <cell r="Q57">
            <v>0</v>
          </cell>
          <cell r="R57">
            <v>0</v>
          </cell>
          <cell r="S57">
            <v>0</v>
          </cell>
        </row>
        <row r="58">
          <cell r="A58">
            <v>2</v>
          </cell>
          <cell r="D58">
            <v>0</v>
          </cell>
          <cell r="E58">
            <v>0</v>
          </cell>
          <cell r="F58">
            <v>1</v>
          </cell>
          <cell r="G58" t="str">
            <v/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</row>
        <row r="59">
          <cell r="B59">
            <v>0</v>
          </cell>
          <cell r="C59">
            <v>0</v>
          </cell>
          <cell r="D59">
            <v>0</v>
          </cell>
          <cell r="E59" t="str">
            <v>О</v>
          </cell>
          <cell r="F59" t="str">
            <v>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E60" t="str">
            <v>О</v>
          </cell>
          <cell r="F60" t="str">
            <v>3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</row>
        <row r="61">
          <cell r="B61">
            <v>0</v>
          </cell>
          <cell r="C61">
            <v>0</v>
          </cell>
          <cell r="D61">
            <v>0</v>
          </cell>
          <cell r="E61" t="str">
            <v>О</v>
          </cell>
          <cell r="F61" t="str">
            <v>4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E62" t="str">
            <v>О</v>
          </cell>
          <cell r="F62" t="str">
            <v>5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E63" t="str">
            <v>О</v>
          </cell>
          <cell r="F63" t="str">
            <v>6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 t="str">
            <v>Добавить вид топлива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</row>
        <row r="67">
          <cell r="D67" t="str">
            <v>Расходы на топливо на 2018 год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</row>
        <row r="68">
          <cell r="D68">
            <v>0</v>
          </cell>
          <cell r="E68">
            <v>0</v>
          </cell>
          <cell r="F68" t="str">
            <v>Затраты на топливо с 01.01.2018 по 30.06.2018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</row>
        <row r="70">
          <cell r="D70">
            <v>0</v>
          </cell>
          <cell r="E70">
            <v>0</v>
          </cell>
          <cell r="F70" t="str">
            <v>№ п/п</v>
          </cell>
          <cell r="G70" t="str">
            <v>Вид используемого топлива</v>
          </cell>
          <cell r="H70" t="str">
            <v>Отпуск тепловой энергии, тыс.Гкал</v>
          </cell>
          <cell r="I70">
            <v>0</v>
          </cell>
          <cell r="J70" t="str">
            <v>НУР, кг.у.т./Гкал</v>
          </cell>
          <cell r="K70" t="str">
            <v>Расход условного топлива, т.у.т</v>
          </cell>
          <cell r="L70" t="str">
            <v>Принимаемая в расчет калорийность топлива</v>
          </cell>
          <cell r="M70" t="str">
            <v>Переводной коэффициент в натуральное топливо</v>
          </cell>
          <cell r="N70" t="str">
            <v>Расход натурального топлива, тнт (м3)</v>
          </cell>
          <cell r="O70" t="str">
            <v>Затраты на топливо, тыс.руб. (c НДС)</v>
          </cell>
          <cell r="P70" t="str">
            <v>ИТОГО затраты на топливо, тыс.руб. (c НДС)</v>
          </cell>
          <cell r="Q70">
            <v>0</v>
          </cell>
          <cell r="R70">
            <v>0</v>
          </cell>
          <cell r="S70">
            <v>0</v>
          </cell>
        </row>
        <row r="71">
          <cell r="D71">
            <v>0</v>
          </cell>
          <cell r="E71">
            <v>0</v>
          </cell>
          <cell r="F71" t="str">
            <v>1</v>
          </cell>
          <cell r="G71" t="str">
            <v>2</v>
          </cell>
          <cell r="H71" t="str">
            <v>3</v>
          </cell>
          <cell r="I71">
            <v>0</v>
          </cell>
          <cell r="J71" t="str">
            <v>4</v>
          </cell>
          <cell r="K71" t="str">
            <v>5</v>
          </cell>
          <cell r="L71" t="str">
            <v>6</v>
          </cell>
          <cell r="M71" t="str">
            <v>7</v>
          </cell>
          <cell r="N71" t="str">
            <v>8</v>
          </cell>
          <cell r="O71" t="str">
            <v>9</v>
          </cell>
          <cell r="P71" t="str">
            <v>10</v>
          </cell>
          <cell r="Q71">
            <v>0</v>
          </cell>
          <cell r="R71">
            <v>0</v>
          </cell>
          <cell r="S71">
            <v>0</v>
          </cell>
        </row>
        <row r="72">
          <cell r="A72">
            <v>2</v>
          </cell>
          <cell r="D72">
            <v>0</v>
          </cell>
          <cell r="E72">
            <v>0</v>
          </cell>
          <cell r="F72">
            <v>1</v>
          </cell>
          <cell r="G72" t="str">
            <v/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</row>
        <row r="73">
          <cell r="B73">
            <v>0</v>
          </cell>
          <cell r="C73">
            <v>0</v>
          </cell>
          <cell r="D73">
            <v>0</v>
          </cell>
          <cell r="E73" t="str">
            <v>О</v>
          </cell>
          <cell r="F73" t="str">
            <v>2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</row>
        <row r="74">
          <cell r="B74">
            <v>0</v>
          </cell>
          <cell r="C74">
            <v>0</v>
          </cell>
          <cell r="D74">
            <v>0</v>
          </cell>
          <cell r="E74" t="str">
            <v>О</v>
          </cell>
          <cell r="F74" t="str">
            <v>3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</row>
        <row r="75">
          <cell r="B75">
            <v>0</v>
          </cell>
          <cell r="C75">
            <v>0</v>
          </cell>
          <cell r="D75">
            <v>0</v>
          </cell>
          <cell r="E75" t="str">
            <v>О</v>
          </cell>
          <cell r="F75" t="str">
            <v>4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E76" t="str">
            <v>О</v>
          </cell>
          <cell r="F76" t="str">
            <v>5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E77" t="str">
            <v>О</v>
          </cell>
          <cell r="F77" t="str">
            <v>6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 t="str">
            <v>Добавить вид топлива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</row>
        <row r="82">
          <cell r="D82">
            <v>0</v>
          </cell>
          <cell r="E82">
            <v>0</v>
          </cell>
          <cell r="F82" t="str">
            <v>Затраты на топливо с 01.07.2018 по 31.12.2018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</row>
        <row r="84">
          <cell r="D84">
            <v>0</v>
          </cell>
          <cell r="E84">
            <v>0</v>
          </cell>
          <cell r="F84" t="str">
            <v>№ п/п</v>
          </cell>
          <cell r="G84" t="str">
            <v>Вид используемого топлива</v>
          </cell>
          <cell r="H84" t="str">
            <v>Отпуск тепловой энергии, тыс.Гкал</v>
          </cell>
          <cell r="I84">
            <v>0</v>
          </cell>
          <cell r="J84" t="str">
            <v>НУР, кг.у.т./Гкал</v>
          </cell>
          <cell r="K84" t="str">
            <v>Расход условного топлива, т.у.т</v>
          </cell>
          <cell r="L84" t="str">
            <v>Принимаемая в расчет калорийность топлива</v>
          </cell>
          <cell r="M84" t="str">
            <v>Переводной коэффициент в натуральное топливо</v>
          </cell>
          <cell r="N84" t="str">
            <v>Расход натурального топлива, тнт (м3)</v>
          </cell>
          <cell r="O84" t="str">
            <v>Затраты на топливо, тыс.руб. (c НДС)</v>
          </cell>
          <cell r="P84" t="str">
            <v>ИТОГО затраты на топливо, тыс.руб. (c НДС)</v>
          </cell>
          <cell r="Q84">
            <v>0</v>
          </cell>
          <cell r="R84">
            <v>0</v>
          </cell>
          <cell r="S84">
            <v>0</v>
          </cell>
        </row>
        <row r="85">
          <cell r="D85">
            <v>0</v>
          </cell>
          <cell r="E85">
            <v>0</v>
          </cell>
          <cell r="F85" t="str">
            <v>1</v>
          </cell>
          <cell r="G85" t="str">
            <v>2</v>
          </cell>
          <cell r="H85" t="str">
            <v>3</v>
          </cell>
          <cell r="I85">
            <v>0</v>
          </cell>
          <cell r="J85" t="str">
            <v>4</v>
          </cell>
          <cell r="K85" t="str">
            <v>5</v>
          </cell>
          <cell r="L85" t="str">
            <v>6</v>
          </cell>
          <cell r="M85" t="str">
            <v>7</v>
          </cell>
          <cell r="N85" t="str">
            <v>8</v>
          </cell>
          <cell r="O85" t="str">
            <v>9</v>
          </cell>
          <cell r="P85" t="str">
            <v>10</v>
          </cell>
          <cell r="Q85">
            <v>0</v>
          </cell>
          <cell r="R85">
            <v>0</v>
          </cell>
          <cell r="S85">
            <v>0</v>
          </cell>
        </row>
        <row r="86">
          <cell r="A86">
            <v>2</v>
          </cell>
          <cell r="D86">
            <v>0</v>
          </cell>
          <cell r="E86">
            <v>0</v>
          </cell>
          <cell r="F86">
            <v>1</v>
          </cell>
          <cell r="G86" t="str">
            <v/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</row>
        <row r="87">
          <cell r="B87">
            <v>0</v>
          </cell>
          <cell r="C87">
            <v>0</v>
          </cell>
          <cell r="D87">
            <v>0</v>
          </cell>
          <cell r="E87" t="str">
            <v>О</v>
          </cell>
          <cell r="F87" t="str">
            <v>2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</row>
        <row r="88">
          <cell r="B88">
            <v>0</v>
          </cell>
          <cell r="C88">
            <v>0</v>
          </cell>
          <cell r="D88">
            <v>0</v>
          </cell>
          <cell r="E88" t="str">
            <v>О</v>
          </cell>
          <cell r="F88" t="str">
            <v>3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</row>
        <row r="89">
          <cell r="B89">
            <v>0</v>
          </cell>
          <cell r="C89">
            <v>0</v>
          </cell>
          <cell r="D89">
            <v>0</v>
          </cell>
          <cell r="E89" t="str">
            <v>О</v>
          </cell>
          <cell r="F89" t="str">
            <v>4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</row>
        <row r="90">
          <cell r="B90">
            <v>0</v>
          </cell>
          <cell r="C90">
            <v>0</v>
          </cell>
          <cell r="D90">
            <v>0</v>
          </cell>
          <cell r="E90" t="str">
            <v>О</v>
          </cell>
          <cell r="F90" t="str">
            <v>5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</row>
        <row r="91">
          <cell r="B91">
            <v>0</v>
          </cell>
          <cell r="C91">
            <v>0</v>
          </cell>
          <cell r="D91">
            <v>0</v>
          </cell>
          <cell r="E91" t="str">
            <v>О</v>
          </cell>
          <cell r="F91" t="str">
            <v>6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 t="str">
            <v>Добавить вид топлива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</row>
        <row r="94"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</row>
        <row r="95">
          <cell r="D95" t="str">
            <v>Расходы на топливо на 2019 год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</row>
        <row r="96">
          <cell r="D96">
            <v>0</v>
          </cell>
          <cell r="E96">
            <v>0</v>
          </cell>
          <cell r="F96" t="str">
            <v>Затраты на топливо с 01.01.2019 по 30.06.2019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</row>
        <row r="98">
          <cell r="D98">
            <v>0</v>
          </cell>
          <cell r="E98">
            <v>0</v>
          </cell>
          <cell r="F98" t="str">
            <v>№ п/п</v>
          </cell>
          <cell r="G98" t="str">
            <v>Вид используемого топлива</v>
          </cell>
          <cell r="H98" t="str">
            <v>Отпуск тепловой энергии, тыс.Гкал</v>
          </cell>
          <cell r="I98">
            <v>0</v>
          </cell>
          <cell r="J98" t="str">
            <v>НУР, кг.у.т./Гкал</v>
          </cell>
          <cell r="K98" t="str">
            <v>Расход условного топлива, т.у.т</v>
          </cell>
          <cell r="L98" t="str">
            <v>Принимаемая в расчет калорийность топлива</v>
          </cell>
          <cell r="M98" t="str">
            <v>Переводной коэффициент в натуральное топливо</v>
          </cell>
          <cell r="N98" t="str">
            <v>Расход натурального топлива, тнт (м3)</v>
          </cell>
          <cell r="O98" t="str">
            <v>Затраты на топливо, тыс.руб. (c НДС)</v>
          </cell>
          <cell r="P98" t="str">
            <v>ИТОГО затраты на топливо, тыс.руб. (c НДС)</v>
          </cell>
          <cell r="Q98">
            <v>0</v>
          </cell>
          <cell r="R98">
            <v>0</v>
          </cell>
          <cell r="S98">
            <v>0</v>
          </cell>
        </row>
        <row r="99">
          <cell r="D99">
            <v>0</v>
          </cell>
          <cell r="E99">
            <v>0</v>
          </cell>
          <cell r="F99" t="str">
            <v>1</v>
          </cell>
          <cell r="G99" t="str">
            <v>2</v>
          </cell>
          <cell r="H99" t="str">
            <v>3</v>
          </cell>
          <cell r="I99">
            <v>0</v>
          </cell>
          <cell r="J99" t="str">
            <v>4</v>
          </cell>
          <cell r="K99" t="str">
            <v>5</v>
          </cell>
          <cell r="L99" t="str">
            <v>6</v>
          </cell>
          <cell r="M99" t="str">
            <v>7</v>
          </cell>
          <cell r="N99" t="str">
            <v>8</v>
          </cell>
          <cell r="O99" t="str">
            <v>9</v>
          </cell>
          <cell r="P99" t="str">
            <v>10</v>
          </cell>
          <cell r="Q99">
            <v>0</v>
          </cell>
          <cell r="R99">
            <v>0</v>
          </cell>
          <cell r="S99">
            <v>0</v>
          </cell>
        </row>
        <row r="100">
          <cell r="A100">
            <v>2</v>
          </cell>
          <cell r="D100">
            <v>0</v>
          </cell>
          <cell r="E100">
            <v>0</v>
          </cell>
          <cell r="F100">
            <v>1</v>
          </cell>
          <cell r="G100" t="str">
            <v/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</row>
        <row r="101">
          <cell r="D101">
            <v>0</v>
          </cell>
          <cell r="E101">
            <v>0</v>
          </cell>
          <cell r="F101">
            <v>0</v>
          </cell>
          <cell r="G101" t="str">
            <v>Добавить вид топлива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</row>
        <row r="102"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</row>
        <row r="103"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</row>
        <row r="105">
          <cell r="D105">
            <v>0</v>
          </cell>
          <cell r="E105">
            <v>0</v>
          </cell>
          <cell r="F105" t="str">
            <v>Затраты на топливо с 01.01.2019 по 30.06.2019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</row>
        <row r="106"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</row>
        <row r="107">
          <cell r="D107">
            <v>0</v>
          </cell>
          <cell r="E107">
            <v>0</v>
          </cell>
          <cell r="F107" t="str">
            <v>№ п/п</v>
          </cell>
          <cell r="G107" t="str">
            <v>Вид используемого топлива</v>
          </cell>
          <cell r="H107" t="str">
            <v>Отпуск тепловой энергии, тыс.Гкал</v>
          </cell>
          <cell r="I107">
            <v>0</v>
          </cell>
          <cell r="J107" t="str">
            <v>НУР, кг.у.т./Гкал</v>
          </cell>
          <cell r="K107" t="str">
            <v>Расход условного топлива, т.у.т</v>
          </cell>
          <cell r="L107" t="str">
            <v>Принимаемая в расчет калорийность топлива</v>
          </cell>
          <cell r="M107" t="str">
            <v>Переводной коэффициент в натуральное топливо</v>
          </cell>
          <cell r="N107" t="str">
            <v>Расход натурального топлива, тнт (м3)</v>
          </cell>
          <cell r="O107" t="str">
            <v>Затраты на топливо, тыс.руб. (c НДС)</v>
          </cell>
          <cell r="P107" t="str">
            <v>ИТОГО затраты на топливо, тыс.руб. (c НДС)</v>
          </cell>
          <cell r="Q107">
            <v>0</v>
          </cell>
          <cell r="R107">
            <v>0</v>
          </cell>
          <cell r="S107">
            <v>0</v>
          </cell>
        </row>
        <row r="108">
          <cell r="D108">
            <v>0</v>
          </cell>
          <cell r="E108">
            <v>0</v>
          </cell>
          <cell r="F108" t="str">
            <v>1</v>
          </cell>
          <cell r="G108" t="str">
            <v>2</v>
          </cell>
          <cell r="H108" t="str">
            <v>3</v>
          </cell>
          <cell r="I108">
            <v>0</v>
          </cell>
          <cell r="J108" t="str">
            <v>4</v>
          </cell>
          <cell r="K108" t="str">
            <v>5</v>
          </cell>
          <cell r="L108" t="str">
            <v>6</v>
          </cell>
          <cell r="M108" t="str">
            <v>7</v>
          </cell>
          <cell r="N108" t="str">
            <v>8</v>
          </cell>
          <cell r="O108" t="str">
            <v>9</v>
          </cell>
          <cell r="P108" t="str">
            <v>10</v>
          </cell>
          <cell r="Q108">
            <v>0</v>
          </cell>
          <cell r="R108">
            <v>0</v>
          </cell>
          <cell r="S108">
            <v>0</v>
          </cell>
        </row>
        <row r="109">
          <cell r="A109">
            <v>2</v>
          </cell>
          <cell r="D109">
            <v>0</v>
          </cell>
          <cell r="E109">
            <v>0</v>
          </cell>
          <cell r="F109">
            <v>1</v>
          </cell>
          <cell r="G109" t="str">
            <v/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 t="str">
            <v>Добавить вид топлива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</row>
        <row r="113">
          <cell r="D113" t="str">
            <v>Расходы на топливо на 2020 год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</row>
        <row r="114">
          <cell r="D114">
            <v>0</v>
          </cell>
          <cell r="E114">
            <v>0</v>
          </cell>
          <cell r="F114" t="str">
            <v>Затраты на топливо с 01.01.2020 по 30.06.2020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</row>
        <row r="116">
          <cell r="D116">
            <v>0</v>
          </cell>
          <cell r="E116">
            <v>0</v>
          </cell>
          <cell r="F116" t="str">
            <v>№ п/п</v>
          </cell>
          <cell r="G116" t="str">
            <v>Вид используемого топлива</v>
          </cell>
          <cell r="H116" t="str">
            <v>Отпуск тепловой энергии, тыс.Гкал</v>
          </cell>
          <cell r="I116">
            <v>0</v>
          </cell>
          <cell r="J116" t="str">
            <v>НУР, кг.у.т./Гкал</v>
          </cell>
          <cell r="K116" t="str">
            <v>Расход условного топлива, т.у.т</v>
          </cell>
          <cell r="L116" t="str">
            <v>Принимаемая в расчет калорийность топлива</v>
          </cell>
          <cell r="M116" t="str">
            <v>Переводной коэффициент в натуральное топливо</v>
          </cell>
          <cell r="N116" t="str">
            <v>Расход натурального топлива, тнт (м3)</v>
          </cell>
          <cell r="O116" t="str">
            <v>Затраты на топливо, тыс.руб. (c НДС)</v>
          </cell>
          <cell r="P116" t="str">
            <v>ИТОГО затраты на топливо, тыс.руб. (c НДС)</v>
          </cell>
          <cell r="Q116">
            <v>0</v>
          </cell>
          <cell r="R116">
            <v>0</v>
          </cell>
          <cell r="S116">
            <v>0</v>
          </cell>
        </row>
        <row r="117">
          <cell r="D117">
            <v>0</v>
          </cell>
          <cell r="E117">
            <v>0</v>
          </cell>
          <cell r="F117" t="str">
            <v>1</v>
          </cell>
          <cell r="G117" t="str">
            <v>2</v>
          </cell>
          <cell r="H117" t="str">
            <v>3</v>
          </cell>
          <cell r="I117">
            <v>0</v>
          </cell>
          <cell r="J117" t="str">
            <v>4</v>
          </cell>
          <cell r="K117" t="str">
            <v>5</v>
          </cell>
          <cell r="L117" t="str">
            <v>6</v>
          </cell>
          <cell r="M117" t="str">
            <v>7</v>
          </cell>
          <cell r="N117" t="str">
            <v>8</v>
          </cell>
          <cell r="O117" t="str">
            <v>9</v>
          </cell>
          <cell r="P117" t="str">
            <v>10</v>
          </cell>
          <cell r="Q117">
            <v>0</v>
          </cell>
          <cell r="R117">
            <v>0</v>
          </cell>
          <cell r="S117">
            <v>0</v>
          </cell>
        </row>
        <row r="118">
          <cell r="A118">
            <v>2</v>
          </cell>
          <cell r="D118">
            <v>0</v>
          </cell>
          <cell r="E118">
            <v>0</v>
          </cell>
          <cell r="F118">
            <v>1</v>
          </cell>
          <cell r="G118" t="str">
            <v/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 t="str">
            <v>Добавить вид топлива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</row>
        <row r="123">
          <cell r="D123">
            <v>0</v>
          </cell>
          <cell r="E123">
            <v>0</v>
          </cell>
          <cell r="F123" t="str">
            <v>Затраты на топливо с 01.07.2020 по 31.12.2020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</row>
        <row r="125">
          <cell r="D125">
            <v>0</v>
          </cell>
          <cell r="E125">
            <v>0</v>
          </cell>
          <cell r="F125" t="str">
            <v>№ п/п</v>
          </cell>
          <cell r="G125" t="str">
            <v>Вид используемого топлива</v>
          </cell>
          <cell r="H125" t="str">
            <v>Отпуск тепловой энергии, тыс.Гкал</v>
          </cell>
          <cell r="I125">
            <v>0</v>
          </cell>
          <cell r="J125" t="str">
            <v>НУР, кг.у.т./Гкал</v>
          </cell>
          <cell r="K125" t="str">
            <v>Расход условного топлива, т.у.т</v>
          </cell>
          <cell r="L125" t="str">
            <v>Принимаемая в расчет калорийность топлива</v>
          </cell>
          <cell r="M125" t="str">
            <v>Переводной коэффициент в натуральное топливо</v>
          </cell>
          <cell r="N125" t="str">
            <v>Расход натурального топлива, тнт (м3)</v>
          </cell>
          <cell r="O125" t="str">
            <v>Затраты на топливо, тыс.руб. (c НДС)</v>
          </cell>
          <cell r="P125" t="str">
            <v>ИТОГО затраты на топливо, тыс.руб. (c НДС)</v>
          </cell>
          <cell r="Q125">
            <v>0</v>
          </cell>
          <cell r="R125">
            <v>0</v>
          </cell>
          <cell r="S125">
            <v>0</v>
          </cell>
        </row>
        <row r="126">
          <cell r="D126">
            <v>0</v>
          </cell>
          <cell r="E126">
            <v>0</v>
          </cell>
          <cell r="F126" t="str">
            <v>1</v>
          </cell>
          <cell r="G126" t="str">
            <v>2</v>
          </cell>
          <cell r="H126" t="str">
            <v>3</v>
          </cell>
          <cell r="I126">
            <v>0</v>
          </cell>
          <cell r="J126" t="str">
            <v>4</v>
          </cell>
          <cell r="K126" t="str">
            <v>5</v>
          </cell>
          <cell r="L126" t="str">
            <v>6</v>
          </cell>
          <cell r="M126" t="str">
            <v>7</v>
          </cell>
          <cell r="N126" t="str">
            <v>8</v>
          </cell>
          <cell r="O126" t="str">
            <v>9</v>
          </cell>
          <cell r="P126" t="str">
            <v>10</v>
          </cell>
          <cell r="Q126">
            <v>0</v>
          </cell>
          <cell r="R126">
            <v>0</v>
          </cell>
          <cell r="S126">
            <v>0</v>
          </cell>
        </row>
        <row r="127">
          <cell r="A127">
            <v>2</v>
          </cell>
          <cell r="D127">
            <v>0</v>
          </cell>
          <cell r="E127">
            <v>0</v>
          </cell>
          <cell r="F127">
            <v>1</v>
          </cell>
          <cell r="G127" t="str">
            <v/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 t="str">
            <v>Добавить вид топлива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</row>
        <row r="174">
          <cell r="D174" t="str">
            <v>Расходы на газ 2017 год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</row>
        <row r="175">
          <cell r="D175">
            <v>0</v>
          </cell>
          <cell r="E175">
            <v>0</v>
          </cell>
          <cell r="F175" t="str">
            <v>с 01.01.2017 по 30.06.2017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</row>
        <row r="176"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</row>
        <row r="177">
          <cell r="D177">
            <v>0</v>
          </cell>
          <cell r="E177">
            <v>0</v>
          </cell>
          <cell r="F177" t="str">
            <v>№ п/п</v>
          </cell>
          <cell r="G177" t="str">
            <v>Группа по точкам поставки природного газа</v>
          </cell>
          <cell r="H177" t="str">
            <v>Расход природного газа в рамках минимального уровня оптовой цены на газ, тыс.куб.м.</v>
          </cell>
          <cell r="I177" t="str">
            <v>Оптовая цена, руб./тыс.куб.м. (c НДС)</v>
          </cell>
          <cell r="J177" t="str">
            <v>Сумма затрат на газ, тыс.руб. (c НДС)</v>
          </cell>
          <cell r="K177" t="str">
            <v>Расход природного газа в рамках максимального уровня оптовой цены на газ, тыс.куб.м.</v>
          </cell>
          <cell r="L177" t="str">
            <v>Оптовая цена, руб./тыс.куб.м. (c НДС)</v>
          </cell>
          <cell r="M177" t="str">
            <v>Сумма затрат на газ, тыс.руб. (c НДС)</v>
          </cell>
          <cell r="N177" t="str">
            <v>Тариф на транспортировку природного газа, руб./тыс.куб.м. (c НДС)</v>
          </cell>
          <cell r="O177" t="str">
            <v>Сумма затрат на транспортировку природного газа, тыс.руб. (c НДС)</v>
          </cell>
          <cell r="P177" t="str">
            <v>ПССУ, руб./тыс.куб.м. (c НДС)</v>
          </cell>
          <cell r="Q177" t="str">
            <v>Сумма затрат на снабженческо-сбытовые услуги, тыс.руб. (c НДС)</v>
          </cell>
          <cell r="R177" t="str">
            <v>Итого расходы на природный газ, тыс.руб. (c НДС)</v>
          </cell>
          <cell r="S177">
            <v>0</v>
          </cell>
        </row>
        <row r="178">
          <cell r="D178">
            <v>0</v>
          </cell>
          <cell r="E178">
            <v>0</v>
          </cell>
          <cell r="F178" t="str">
            <v>1</v>
          </cell>
          <cell r="G178" t="str">
            <v>2</v>
          </cell>
          <cell r="H178" t="str">
            <v>3</v>
          </cell>
          <cell r="I178" t="str">
            <v>4</v>
          </cell>
          <cell r="J178" t="str">
            <v>5</v>
          </cell>
          <cell r="K178" t="str">
            <v>6</v>
          </cell>
          <cell r="L178" t="str">
            <v>7</v>
          </cell>
          <cell r="M178" t="str">
            <v>8</v>
          </cell>
          <cell r="N178" t="str">
            <v>9</v>
          </cell>
          <cell r="O178" t="str">
            <v>10</v>
          </cell>
          <cell r="P178" t="str">
            <v>11</v>
          </cell>
          <cell r="Q178" t="str">
            <v>12</v>
          </cell>
          <cell r="R178" t="str">
            <v>13</v>
          </cell>
          <cell r="S178">
            <v>0</v>
          </cell>
        </row>
        <row r="179">
          <cell r="D179">
            <v>0</v>
          </cell>
          <cell r="E179">
            <v>0</v>
          </cell>
          <cell r="F179">
            <v>1</v>
          </cell>
          <cell r="G179" t="str">
            <v>1 группа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</row>
        <row r="180">
          <cell r="D180">
            <v>0</v>
          </cell>
          <cell r="E180">
            <v>0</v>
          </cell>
          <cell r="F180">
            <v>2</v>
          </cell>
          <cell r="G180" t="str">
            <v>2 группа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</row>
        <row r="181">
          <cell r="D181">
            <v>0</v>
          </cell>
          <cell r="E181">
            <v>0</v>
          </cell>
          <cell r="F181">
            <v>3</v>
          </cell>
          <cell r="G181" t="str">
            <v>3 группа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</row>
        <row r="182">
          <cell r="D182">
            <v>0</v>
          </cell>
          <cell r="E182">
            <v>0</v>
          </cell>
          <cell r="F182">
            <v>4</v>
          </cell>
          <cell r="G182" t="str">
            <v>4 группа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</row>
        <row r="183">
          <cell r="D183">
            <v>0</v>
          </cell>
          <cell r="E183">
            <v>0</v>
          </cell>
          <cell r="F183">
            <v>5</v>
          </cell>
          <cell r="G183" t="str">
            <v>5 группа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</row>
        <row r="184">
          <cell r="D184">
            <v>0</v>
          </cell>
          <cell r="E184">
            <v>0</v>
          </cell>
          <cell r="F184">
            <v>6</v>
          </cell>
          <cell r="G184" t="str">
            <v>6 группа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</row>
        <row r="185">
          <cell r="D185">
            <v>0</v>
          </cell>
          <cell r="E185">
            <v>0</v>
          </cell>
          <cell r="F185">
            <v>7</v>
          </cell>
          <cell r="G185" t="str">
            <v>7 группа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</row>
        <row r="186"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</row>
        <row r="187"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</row>
        <row r="188"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</row>
        <row r="189">
          <cell r="D189">
            <v>0</v>
          </cell>
          <cell r="E189">
            <v>0</v>
          </cell>
          <cell r="F189" t="str">
            <v>с 01.07.2017 по 31.12.2017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</row>
        <row r="191">
          <cell r="D191">
            <v>0</v>
          </cell>
          <cell r="E191">
            <v>0</v>
          </cell>
          <cell r="F191" t="str">
            <v>№ п/п</v>
          </cell>
          <cell r="G191" t="str">
            <v>Группа по точкам поставки природного газа</v>
          </cell>
          <cell r="H191" t="str">
            <v>Расход природного газа в рамках минимального уровня оптовой цены на газ, тыс.куб.м.</v>
          </cell>
          <cell r="I191" t="str">
            <v>Оптовая цена, руб./тыс.куб.м. (c НДС)</v>
          </cell>
          <cell r="J191" t="str">
            <v>Сумма затрат на газ, тыс.руб. (c НДС)</v>
          </cell>
          <cell r="K191" t="str">
            <v>Расход природного газа в рамках максимального уровня оптовой цены на газ, тыс.куб.м.</v>
          </cell>
          <cell r="L191" t="str">
            <v>Оптовая цена, руб./тыс.куб.м. (c НДС)</v>
          </cell>
          <cell r="M191" t="str">
            <v>Сумма затрат на газ, тыс.руб. (c НДС)</v>
          </cell>
          <cell r="N191" t="str">
            <v>Тариф на транспортировку природного газа, руб./тыс.куб.м. (c НДС)</v>
          </cell>
          <cell r="O191" t="str">
            <v>Сумма затрат на транспортировку природного газа, тыс.руб. (c НДС)</v>
          </cell>
          <cell r="P191" t="str">
            <v>ПССУ, руб./тыс.куб.м. (c НДС)</v>
          </cell>
          <cell r="Q191" t="str">
            <v>Сумма затрат на снабженческо-сбытовые услуги, тыс.руб. (c НДС)</v>
          </cell>
          <cell r="R191" t="str">
            <v>Итого расходы на природный газ, тыс.руб. (c НДС)</v>
          </cell>
          <cell r="S191">
            <v>0</v>
          </cell>
        </row>
        <row r="192">
          <cell r="D192">
            <v>0</v>
          </cell>
          <cell r="E192">
            <v>0</v>
          </cell>
          <cell r="F192" t="str">
            <v>1</v>
          </cell>
          <cell r="G192" t="str">
            <v>2</v>
          </cell>
          <cell r="H192" t="str">
            <v>3</v>
          </cell>
          <cell r="I192" t="str">
            <v>4</v>
          </cell>
          <cell r="J192" t="str">
            <v>5</v>
          </cell>
          <cell r="K192" t="str">
            <v>6</v>
          </cell>
          <cell r="L192" t="str">
            <v>7</v>
          </cell>
          <cell r="M192" t="str">
            <v>8</v>
          </cell>
          <cell r="N192" t="str">
            <v>9</v>
          </cell>
          <cell r="O192" t="str">
            <v>10</v>
          </cell>
          <cell r="P192" t="str">
            <v>11</v>
          </cell>
          <cell r="Q192" t="str">
            <v>12</v>
          </cell>
          <cell r="R192" t="str">
            <v>13</v>
          </cell>
          <cell r="S192">
            <v>0</v>
          </cell>
        </row>
        <row r="193">
          <cell r="D193">
            <v>0</v>
          </cell>
          <cell r="E193">
            <v>0</v>
          </cell>
          <cell r="F193">
            <v>1</v>
          </cell>
          <cell r="G193" t="str">
            <v>1 группа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</row>
        <row r="194">
          <cell r="D194">
            <v>0</v>
          </cell>
          <cell r="E194">
            <v>0</v>
          </cell>
          <cell r="F194">
            <v>2</v>
          </cell>
          <cell r="G194" t="str">
            <v>2 группа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</row>
        <row r="195">
          <cell r="D195">
            <v>0</v>
          </cell>
          <cell r="E195">
            <v>0</v>
          </cell>
          <cell r="F195">
            <v>3</v>
          </cell>
          <cell r="G195" t="str">
            <v>3 группа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</row>
        <row r="196">
          <cell r="D196">
            <v>0</v>
          </cell>
          <cell r="E196">
            <v>0</v>
          </cell>
          <cell r="F196">
            <v>4</v>
          </cell>
          <cell r="G196" t="str">
            <v>4 группа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</row>
        <row r="197">
          <cell r="D197">
            <v>0</v>
          </cell>
          <cell r="E197">
            <v>0</v>
          </cell>
          <cell r="F197">
            <v>5</v>
          </cell>
          <cell r="G197" t="str">
            <v>5 группа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</row>
        <row r="198">
          <cell r="D198">
            <v>0</v>
          </cell>
          <cell r="E198">
            <v>0</v>
          </cell>
          <cell r="F198">
            <v>6</v>
          </cell>
          <cell r="G198" t="str">
            <v>6 группа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</row>
        <row r="199">
          <cell r="D199">
            <v>0</v>
          </cell>
          <cell r="E199">
            <v>0</v>
          </cell>
          <cell r="F199">
            <v>7</v>
          </cell>
          <cell r="G199" t="str">
            <v>7 группа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</row>
        <row r="201"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</row>
        <row r="202">
          <cell r="D202" t="str">
            <v>Расходы на газ 2018 год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</row>
        <row r="203">
          <cell r="D203">
            <v>0</v>
          </cell>
          <cell r="E203">
            <v>0</v>
          </cell>
          <cell r="F203" t="str">
            <v>с 01.01.2018 по 30.06.2018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</row>
        <row r="204"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</row>
        <row r="205">
          <cell r="D205">
            <v>0</v>
          </cell>
          <cell r="E205">
            <v>0</v>
          </cell>
          <cell r="F205" t="str">
            <v>№ п/п</v>
          </cell>
          <cell r="G205" t="str">
            <v>Группа по точкам поставки природного газа</v>
          </cell>
          <cell r="H205" t="str">
            <v>Расход природного газа в рамках минимального уровня оптовой цены на газ, тыс.куб.м.</v>
          </cell>
          <cell r="I205" t="str">
            <v>Оптовая цена, руб./тыс.куб.м. (c НДС)</v>
          </cell>
          <cell r="J205" t="str">
            <v>Сумма затрат на газ, тыс.руб. (c НДС)</v>
          </cell>
          <cell r="K205" t="str">
            <v>Расход природного газа в рамках максимального уровня оптовой цены на газ, тыс.куб.м.</v>
          </cell>
          <cell r="L205" t="str">
            <v>Оптовая цена, руб./тыс.куб.м. (c НДС)</v>
          </cell>
          <cell r="M205" t="str">
            <v>Сумма затрат на газ, тыс.руб. (c НДС)</v>
          </cell>
          <cell r="N205" t="str">
            <v>Тариф на транспортировку природного газа, руб./тыс.куб.м. (c НДС)</v>
          </cell>
          <cell r="O205" t="str">
            <v>Сумма затрат на транспортировку природного газа, тыс.руб. (c НДС)</v>
          </cell>
          <cell r="P205" t="str">
            <v>ПССУ, руб./тыс.куб.м. (c НДС)</v>
          </cell>
          <cell r="Q205" t="str">
            <v>Сумма затрат на снабженческо-сбытовые услуги, тыс.руб. (c НДС)</v>
          </cell>
          <cell r="R205" t="str">
            <v>Итого расходы на природный газ, тыс.руб. (c НДС)</v>
          </cell>
          <cell r="S205">
            <v>0</v>
          </cell>
        </row>
        <row r="206">
          <cell r="D206">
            <v>0</v>
          </cell>
          <cell r="E206">
            <v>0</v>
          </cell>
          <cell r="F206" t="str">
            <v>1</v>
          </cell>
          <cell r="G206" t="str">
            <v>2</v>
          </cell>
          <cell r="H206" t="str">
            <v>3</v>
          </cell>
          <cell r="I206" t="str">
            <v>4</v>
          </cell>
          <cell r="J206" t="str">
            <v>5</v>
          </cell>
          <cell r="K206" t="str">
            <v>6</v>
          </cell>
          <cell r="L206" t="str">
            <v>7</v>
          </cell>
          <cell r="M206" t="str">
            <v>8</v>
          </cell>
          <cell r="N206" t="str">
            <v>9</v>
          </cell>
          <cell r="O206" t="str">
            <v>10</v>
          </cell>
          <cell r="P206" t="str">
            <v>11</v>
          </cell>
          <cell r="Q206" t="str">
            <v>12</v>
          </cell>
          <cell r="R206" t="str">
            <v>13</v>
          </cell>
          <cell r="S206">
            <v>0</v>
          </cell>
        </row>
        <row r="207">
          <cell r="D207">
            <v>0</v>
          </cell>
          <cell r="E207">
            <v>0</v>
          </cell>
          <cell r="F207">
            <v>1</v>
          </cell>
          <cell r="G207" t="str">
            <v>1 группа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</row>
        <row r="208">
          <cell r="D208">
            <v>0</v>
          </cell>
          <cell r="E208">
            <v>0</v>
          </cell>
          <cell r="F208">
            <v>2</v>
          </cell>
          <cell r="G208" t="str">
            <v>2 группа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</row>
        <row r="209">
          <cell r="D209">
            <v>0</v>
          </cell>
          <cell r="E209">
            <v>0</v>
          </cell>
          <cell r="F209">
            <v>3</v>
          </cell>
          <cell r="G209" t="str">
            <v>3 группа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</row>
        <row r="210">
          <cell r="D210">
            <v>0</v>
          </cell>
          <cell r="E210">
            <v>0</v>
          </cell>
          <cell r="F210">
            <v>4</v>
          </cell>
          <cell r="G210" t="str">
            <v>4 группа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</row>
        <row r="211">
          <cell r="D211">
            <v>0</v>
          </cell>
          <cell r="E211">
            <v>0</v>
          </cell>
          <cell r="F211">
            <v>5</v>
          </cell>
          <cell r="G211" t="str">
            <v>5 группа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</row>
        <row r="212">
          <cell r="D212">
            <v>0</v>
          </cell>
          <cell r="E212">
            <v>0</v>
          </cell>
          <cell r="F212">
            <v>6</v>
          </cell>
          <cell r="G212" t="str">
            <v>6 группа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</row>
        <row r="213">
          <cell r="D213">
            <v>0</v>
          </cell>
          <cell r="E213">
            <v>0</v>
          </cell>
          <cell r="F213">
            <v>7</v>
          </cell>
          <cell r="G213" t="str">
            <v>7 группа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</row>
        <row r="214"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</row>
        <row r="215"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</row>
        <row r="216"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</row>
        <row r="217">
          <cell r="D217">
            <v>0</v>
          </cell>
          <cell r="E217">
            <v>0</v>
          </cell>
          <cell r="F217" t="str">
            <v>с 01.07.2018 по 31.12.2018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</row>
        <row r="218"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</row>
        <row r="219">
          <cell r="D219">
            <v>0</v>
          </cell>
          <cell r="E219">
            <v>0</v>
          </cell>
          <cell r="F219" t="str">
            <v>№ п/п</v>
          </cell>
          <cell r="G219" t="str">
            <v>Группа по точкам поставки природного газа</v>
          </cell>
          <cell r="H219" t="str">
            <v>Расход природного газа в рамках минимального уровня оптовой цены на газ, тыс.куб.м.</v>
          </cell>
          <cell r="I219" t="str">
            <v>Оптовая цена, руб./тыс.куб.м. (c НДС)</v>
          </cell>
          <cell r="J219" t="str">
            <v>Сумма затрат на газ, тыс.руб. (c НДС)</v>
          </cell>
          <cell r="K219" t="str">
            <v>Расход природного газа в рамках максимального уровня оптовой цены на газ, тыс.куб.м.</v>
          </cell>
          <cell r="L219" t="str">
            <v>Оптовая цена, руб./тыс.куб.м. (c НДС)</v>
          </cell>
          <cell r="M219" t="str">
            <v>Сумма затрат на газ, тыс.руб. (c НДС)</v>
          </cell>
          <cell r="N219" t="str">
            <v>Тариф на транспортировку природного газа, руб./тыс.куб.м. (c НДС)</v>
          </cell>
          <cell r="O219" t="str">
            <v>Сумма затрат на транспортировку природного газа, тыс.руб. (c НДС)</v>
          </cell>
          <cell r="P219" t="str">
            <v>ПССУ, руб./тыс.куб.м. (c НДС)</v>
          </cell>
          <cell r="Q219" t="str">
            <v>Сумма затрат на снабженческо-сбытовые услуги, тыс.руб. (c НДС)</v>
          </cell>
          <cell r="R219" t="str">
            <v>Итого расходы на природный газ, тыс.руб. (c НДС)</v>
          </cell>
          <cell r="S219">
            <v>0</v>
          </cell>
        </row>
        <row r="220">
          <cell r="D220">
            <v>0</v>
          </cell>
          <cell r="E220">
            <v>0</v>
          </cell>
          <cell r="F220" t="str">
            <v>1</v>
          </cell>
          <cell r="G220" t="str">
            <v>2</v>
          </cell>
          <cell r="H220" t="str">
            <v>3</v>
          </cell>
          <cell r="I220" t="str">
            <v>4</v>
          </cell>
          <cell r="J220" t="str">
            <v>5</v>
          </cell>
          <cell r="K220" t="str">
            <v>6</v>
          </cell>
          <cell r="L220" t="str">
            <v>7</v>
          </cell>
          <cell r="M220" t="str">
            <v>8</v>
          </cell>
          <cell r="N220" t="str">
            <v>9</v>
          </cell>
          <cell r="O220" t="str">
            <v>10</v>
          </cell>
          <cell r="P220" t="str">
            <v>11</v>
          </cell>
          <cell r="Q220" t="str">
            <v>12</v>
          </cell>
          <cell r="R220" t="str">
            <v>13</v>
          </cell>
          <cell r="S220">
            <v>0</v>
          </cell>
        </row>
        <row r="221">
          <cell r="D221">
            <v>0</v>
          </cell>
          <cell r="E221">
            <v>0</v>
          </cell>
          <cell r="F221">
            <v>1</v>
          </cell>
          <cell r="G221" t="str">
            <v>1 группа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</row>
        <row r="222">
          <cell r="D222">
            <v>0</v>
          </cell>
          <cell r="E222">
            <v>0</v>
          </cell>
          <cell r="F222">
            <v>2</v>
          </cell>
          <cell r="G222" t="str">
            <v>2 группа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</row>
        <row r="223">
          <cell r="D223">
            <v>0</v>
          </cell>
          <cell r="E223">
            <v>0</v>
          </cell>
          <cell r="F223">
            <v>3</v>
          </cell>
          <cell r="G223" t="str">
            <v>3 группа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</row>
        <row r="224">
          <cell r="D224">
            <v>0</v>
          </cell>
          <cell r="E224">
            <v>0</v>
          </cell>
          <cell r="F224">
            <v>4</v>
          </cell>
          <cell r="G224" t="str">
            <v>4 группа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</row>
        <row r="225">
          <cell r="D225">
            <v>0</v>
          </cell>
          <cell r="E225">
            <v>0</v>
          </cell>
          <cell r="F225">
            <v>5</v>
          </cell>
          <cell r="G225" t="str">
            <v>5 группа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</row>
        <row r="226">
          <cell r="D226">
            <v>0</v>
          </cell>
          <cell r="E226">
            <v>0</v>
          </cell>
          <cell r="F226">
            <v>6</v>
          </cell>
          <cell r="G226" t="str">
            <v>6 группа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</row>
        <row r="227">
          <cell r="D227">
            <v>0</v>
          </cell>
          <cell r="E227">
            <v>0</v>
          </cell>
          <cell r="F227">
            <v>7</v>
          </cell>
          <cell r="G227" t="str">
            <v>7 группа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</row>
        <row r="228"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</row>
        <row r="229"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</row>
        <row r="230">
          <cell r="D230" t="str">
            <v>Расходы на газ 2019 год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</row>
        <row r="231">
          <cell r="D231">
            <v>0</v>
          </cell>
          <cell r="E231">
            <v>0</v>
          </cell>
          <cell r="F231" t="str">
            <v>с 01.01.2019 по 30.06.2019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</row>
        <row r="232"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</row>
        <row r="233">
          <cell r="D233">
            <v>0</v>
          </cell>
          <cell r="E233">
            <v>0</v>
          </cell>
          <cell r="F233" t="str">
            <v>№ п/п</v>
          </cell>
          <cell r="G233" t="str">
            <v>Группа по точкам поставки природного газа</v>
          </cell>
          <cell r="H233" t="str">
            <v>Расход природного газа в рамках минимального уровня оптовой цены на газ, тыс.куб.м.</v>
          </cell>
          <cell r="I233" t="str">
            <v>Оптовая цена, руб./тыс.куб.м. (c НДС)</v>
          </cell>
          <cell r="J233" t="str">
            <v>Сумма затрат на газ, тыс.руб. (c НДС)</v>
          </cell>
          <cell r="K233" t="str">
            <v>Расход природного газа в рамках максимального уровня оптовой цены на газ, тыс.куб.м.</v>
          </cell>
          <cell r="L233" t="str">
            <v>Оптовая цена, руб./тыс.куб.м. (c НДС)</v>
          </cell>
          <cell r="M233" t="str">
            <v>Сумма затрат на газ, тыс.руб. (c НДС)</v>
          </cell>
          <cell r="N233" t="str">
            <v>Тариф на транспортировку природного газа, руб./тыс.куб.м. (c НДС)</v>
          </cell>
          <cell r="O233" t="str">
            <v>Сумма затрат на транспортировку природного газа, тыс.руб. (c НДС)</v>
          </cell>
          <cell r="P233" t="str">
            <v>ПССУ, руб./тыс.куб.м. (c НДС)</v>
          </cell>
          <cell r="Q233" t="str">
            <v>Сумма затрат на снабженческо-сбытовые услуги, тыс.руб. (c НДС)</v>
          </cell>
          <cell r="R233" t="str">
            <v>Итого расходы на природный газ, тыс.руб. (c НДС)</v>
          </cell>
          <cell r="S233">
            <v>0</v>
          </cell>
        </row>
        <row r="234">
          <cell r="D234">
            <v>0</v>
          </cell>
          <cell r="E234">
            <v>0</v>
          </cell>
          <cell r="F234" t="str">
            <v>1</v>
          </cell>
          <cell r="G234" t="str">
            <v>2</v>
          </cell>
          <cell r="H234" t="str">
            <v>3</v>
          </cell>
          <cell r="I234" t="str">
            <v>4</v>
          </cell>
          <cell r="J234" t="str">
            <v>5</v>
          </cell>
          <cell r="K234" t="str">
            <v>6</v>
          </cell>
          <cell r="L234" t="str">
            <v>7</v>
          </cell>
          <cell r="M234" t="str">
            <v>8</v>
          </cell>
          <cell r="N234" t="str">
            <v>9</v>
          </cell>
          <cell r="O234" t="str">
            <v>10</v>
          </cell>
          <cell r="P234" t="str">
            <v>11</v>
          </cell>
          <cell r="Q234" t="str">
            <v>12</v>
          </cell>
          <cell r="R234" t="str">
            <v>13</v>
          </cell>
          <cell r="S234">
            <v>0</v>
          </cell>
        </row>
        <row r="235">
          <cell r="D235">
            <v>0</v>
          </cell>
          <cell r="E235">
            <v>0</v>
          </cell>
          <cell r="F235">
            <v>1</v>
          </cell>
          <cell r="G235" t="str">
            <v>1 группа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</row>
        <row r="236">
          <cell r="D236">
            <v>0</v>
          </cell>
          <cell r="E236">
            <v>0</v>
          </cell>
          <cell r="F236">
            <v>2</v>
          </cell>
          <cell r="G236" t="str">
            <v>2 группа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</row>
        <row r="237">
          <cell r="D237">
            <v>0</v>
          </cell>
          <cell r="E237">
            <v>0</v>
          </cell>
          <cell r="F237">
            <v>3</v>
          </cell>
          <cell r="G237" t="str">
            <v>3 группа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</row>
        <row r="238">
          <cell r="D238">
            <v>0</v>
          </cell>
          <cell r="E238">
            <v>0</v>
          </cell>
          <cell r="F238">
            <v>4</v>
          </cell>
          <cell r="G238" t="str">
            <v>4 группа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</row>
        <row r="239">
          <cell r="D239">
            <v>0</v>
          </cell>
          <cell r="E239">
            <v>0</v>
          </cell>
          <cell r="F239">
            <v>5</v>
          </cell>
          <cell r="G239" t="str">
            <v>5 группа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</row>
        <row r="240">
          <cell r="D240">
            <v>0</v>
          </cell>
          <cell r="E240">
            <v>0</v>
          </cell>
          <cell r="F240">
            <v>6</v>
          </cell>
          <cell r="G240" t="str">
            <v>6 группа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</row>
        <row r="241">
          <cell r="D241">
            <v>0</v>
          </cell>
          <cell r="E241">
            <v>0</v>
          </cell>
          <cell r="F241">
            <v>7</v>
          </cell>
          <cell r="G241" t="str">
            <v>7 группа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</row>
        <row r="242"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</row>
        <row r="243"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</row>
        <row r="244"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</row>
        <row r="245">
          <cell r="D245">
            <v>0</v>
          </cell>
          <cell r="E245">
            <v>0</v>
          </cell>
          <cell r="F245" t="str">
            <v>с 01.07.2019 по 31.12.2019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</row>
        <row r="246"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</row>
        <row r="247">
          <cell r="D247">
            <v>0</v>
          </cell>
          <cell r="E247">
            <v>0</v>
          </cell>
          <cell r="F247" t="str">
            <v>№ п/п</v>
          </cell>
          <cell r="G247" t="str">
            <v>Группа по точкам поставки природного газа</v>
          </cell>
          <cell r="H247" t="str">
            <v>Расход природного газа в рамках минимального уровня оптовой цены на газ, тыс.куб.м.</v>
          </cell>
          <cell r="I247" t="str">
            <v>Оптовая цена, руб./тыс.куб.м. (c НДС)</v>
          </cell>
          <cell r="J247" t="str">
            <v>Сумма затрат на газ, тыс.руб. (c НДС)</v>
          </cell>
          <cell r="K247" t="str">
            <v>Расход природного газа в рамках максимального уровня оптовой цены на газ, тыс.куб.м.</v>
          </cell>
          <cell r="L247" t="str">
            <v>Оптовая цена, руб./тыс.куб.м. (c НДС)</v>
          </cell>
          <cell r="M247" t="str">
            <v>Сумма затрат на газ, тыс.руб. (c НДС)</v>
          </cell>
          <cell r="N247" t="str">
            <v>Тариф на транспортировку природного газа, руб./тыс.куб.м. (c НДС)</v>
          </cell>
          <cell r="O247" t="str">
            <v>Сумма затрат на транспортировку природного газа, тыс.руб. (c НДС)</v>
          </cell>
          <cell r="P247" t="str">
            <v>ПССУ, руб./тыс.куб.м. (c НДС)</v>
          </cell>
          <cell r="Q247" t="str">
            <v>Сумма затрат на снабженческо-сбытовые услуги, тыс.руб. (c НДС)</v>
          </cell>
          <cell r="R247" t="str">
            <v>Итого расходы на природный газ, тыс.руб. (c НДС)</v>
          </cell>
          <cell r="S247">
            <v>0</v>
          </cell>
        </row>
        <row r="248">
          <cell r="D248">
            <v>0</v>
          </cell>
          <cell r="E248">
            <v>0</v>
          </cell>
          <cell r="F248" t="str">
            <v>1</v>
          </cell>
          <cell r="G248" t="str">
            <v>2</v>
          </cell>
          <cell r="H248" t="str">
            <v>3</v>
          </cell>
          <cell r="I248" t="str">
            <v>4</v>
          </cell>
          <cell r="J248" t="str">
            <v>5</v>
          </cell>
          <cell r="K248" t="str">
            <v>6</v>
          </cell>
          <cell r="L248" t="str">
            <v>7</v>
          </cell>
          <cell r="M248" t="str">
            <v>8</v>
          </cell>
          <cell r="N248" t="str">
            <v>9</v>
          </cell>
          <cell r="O248" t="str">
            <v>10</v>
          </cell>
          <cell r="P248" t="str">
            <v>11</v>
          </cell>
          <cell r="Q248" t="str">
            <v>12</v>
          </cell>
          <cell r="R248" t="str">
            <v>13</v>
          </cell>
          <cell r="S248">
            <v>0</v>
          </cell>
        </row>
        <row r="249">
          <cell r="D249">
            <v>0</v>
          </cell>
          <cell r="E249">
            <v>0</v>
          </cell>
          <cell r="F249">
            <v>1</v>
          </cell>
          <cell r="G249" t="str">
            <v>1 группа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</row>
        <row r="250">
          <cell r="D250">
            <v>0</v>
          </cell>
          <cell r="E250">
            <v>0</v>
          </cell>
          <cell r="F250">
            <v>2</v>
          </cell>
          <cell r="G250" t="str">
            <v>2 группа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</row>
        <row r="251">
          <cell r="D251">
            <v>0</v>
          </cell>
          <cell r="E251">
            <v>0</v>
          </cell>
          <cell r="F251">
            <v>3</v>
          </cell>
          <cell r="G251" t="str">
            <v>3 группа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</row>
        <row r="252">
          <cell r="D252">
            <v>0</v>
          </cell>
          <cell r="E252">
            <v>0</v>
          </cell>
          <cell r="F252">
            <v>4</v>
          </cell>
          <cell r="G252" t="str">
            <v>4 группа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</row>
        <row r="253">
          <cell r="D253">
            <v>0</v>
          </cell>
          <cell r="E253">
            <v>0</v>
          </cell>
          <cell r="F253">
            <v>5</v>
          </cell>
          <cell r="G253" t="str">
            <v>5 группа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</row>
        <row r="254">
          <cell r="D254">
            <v>0</v>
          </cell>
          <cell r="E254">
            <v>0</v>
          </cell>
          <cell r="F254">
            <v>6</v>
          </cell>
          <cell r="G254" t="str">
            <v>6 группа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</row>
        <row r="255">
          <cell r="D255">
            <v>0</v>
          </cell>
          <cell r="E255">
            <v>0</v>
          </cell>
          <cell r="F255">
            <v>7</v>
          </cell>
          <cell r="G255" t="str">
            <v>7 группа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</row>
        <row r="256"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</row>
        <row r="257"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</row>
        <row r="258">
          <cell r="D258" t="str">
            <v>Расходы на газ 2020 год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</row>
        <row r="259">
          <cell r="D259">
            <v>0</v>
          </cell>
          <cell r="E259">
            <v>0</v>
          </cell>
          <cell r="F259" t="str">
            <v>с 01.01.2020 по 30.06.2020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</row>
        <row r="260"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</row>
        <row r="261">
          <cell r="D261">
            <v>0</v>
          </cell>
          <cell r="E261">
            <v>0</v>
          </cell>
          <cell r="F261" t="str">
            <v>№ п/п</v>
          </cell>
          <cell r="G261" t="str">
            <v>Группа по точкам поставки природного газа</v>
          </cell>
          <cell r="H261" t="str">
            <v>Расход природного газа в рамках минимального уровня оптовой цены на газ, тыс.куб.м.</v>
          </cell>
          <cell r="I261" t="str">
            <v>Оптовая цена, руб./тыс.куб.м. (c НДС)</v>
          </cell>
          <cell r="J261" t="str">
            <v>Сумма затрат на газ, тыс.руб. (c НДС)</v>
          </cell>
          <cell r="K261" t="str">
            <v>Расход природного газа в рамках максимального уровня оптовой цены на газ, тыс.куб.м.</v>
          </cell>
          <cell r="L261" t="str">
            <v>Оптовая цена, руб./тыс.куб.м. (c НДС)</v>
          </cell>
          <cell r="M261" t="str">
            <v>Сумма затрат на газ, тыс.руб. (c НДС)</v>
          </cell>
          <cell r="N261" t="str">
            <v>Тариф на транспортировку природного газа, руб./тыс.куб.м. (c НДС)</v>
          </cell>
          <cell r="O261" t="str">
            <v>Сумма затрат на транспортировку природного газа, тыс.руб. (c НДС)</v>
          </cell>
          <cell r="P261" t="str">
            <v>ПССУ, руб./тыс.куб.м. (c НДС)</v>
          </cell>
          <cell r="Q261" t="str">
            <v>Сумма затрат на снабженческо-сбытовые услуги, тыс.руб. (c НДС)</v>
          </cell>
          <cell r="R261" t="str">
            <v>Итого расходы на природный газ, тыс.руб. (c НДС)</v>
          </cell>
          <cell r="S261">
            <v>0</v>
          </cell>
        </row>
        <row r="262">
          <cell r="D262">
            <v>0</v>
          </cell>
          <cell r="E262">
            <v>0</v>
          </cell>
          <cell r="F262" t="str">
            <v>1</v>
          </cell>
          <cell r="G262" t="str">
            <v>2</v>
          </cell>
          <cell r="H262" t="str">
            <v>3</v>
          </cell>
          <cell r="I262" t="str">
            <v>4</v>
          </cell>
          <cell r="J262" t="str">
            <v>5</v>
          </cell>
          <cell r="K262" t="str">
            <v>6</v>
          </cell>
          <cell r="L262" t="str">
            <v>7</v>
          </cell>
          <cell r="M262" t="str">
            <v>8</v>
          </cell>
          <cell r="N262" t="str">
            <v>9</v>
          </cell>
          <cell r="O262" t="str">
            <v>10</v>
          </cell>
          <cell r="P262" t="str">
            <v>11</v>
          </cell>
          <cell r="Q262" t="str">
            <v>12</v>
          </cell>
          <cell r="R262" t="str">
            <v>13</v>
          </cell>
          <cell r="S262">
            <v>0</v>
          </cell>
        </row>
        <row r="263">
          <cell r="D263">
            <v>0</v>
          </cell>
          <cell r="E263">
            <v>0</v>
          </cell>
          <cell r="F263">
            <v>1</v>
          </cell>
          <cell r="G263" t="str">
            <v>1 группа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</row>
        <row r="264">
          <cell r="D264">
            <v>0</v>
          </cell>
          <cell r="E264">
            <v>0</v>
          </cell>
          <cell r="F264">
            <v>2</v>
          </cell>
          <cell r="G264" t="str">
            <v>2 группа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</row>
        <row r="265">
          <cell r="D265">
            <v>0</v>
          </cell>
          <cell r="E265">
            <v>0</v>
          </cell>
          <cell r="F265">
            <v>3</v>
          </cell>
          <cell r="G265" t="str">
            <v>3 группа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</row>
        <row r="266">
          <cell r="D266">
            <v>0</v>
          </cell>
          <cell r="E266">
            <v>0</v>
          </cell>
          <cell r="F266">
            <v>4</v>
          </cell>
          <cell r="G266" t="str">
            <v>4 группа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</row>
        <row r="267">
          <cell r="D267">
            <v>0</v>
          </cell>
          <cell r="E267">
            <v>0</v>
          </cell>
          <cell r="F267">
            <v>5</v>
          </cell>
          <cell r="G267" t="str">
            <v>5 группа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</row>
        <row r="268">
          <cell r="D268">
            <v>0</v>
          </cell>
          <cell r="E268">
            <v>0</v>
          </cell>
          <cell r="F268">
            <v>6</v>
          </cell>
          <cell r="G268" t="str">
            <v>6 группа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</row>
        <row r="269">
          <cell r="D269">
            <v>0</v>
          </cell>
          <cell r="E269">
            <v>0</v>
          </cell>
          <cell r="F269">
            <v>7</v>
          </cell>
          <cell r="G269" t="str">
            <v>7 группа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</row>
        <row r="270"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</row>
        <row r="271"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</row>
        <row r="272"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</row>
        <row r="273">
          <cell r="D273">
            <v>0</v>
          </cell>
          <cell r="E273">
            <v>0</v>
          </cell>
          <cell r="F273" t="str">
            <v>с 01.07.2020 по 31.12.2020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</row>
        <row r="274"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</row>
        <row r="275">
          <cell r="D275">
            <v>0</v>
          </cell>
          <cell r="E275">
            <v>0</v>
          </cell>
          <cell r="F275" t="str">
            <v>№ п/п</v>
          </cell>
          <cell r="G275" t="str">
            <v>Группа по точкам поставки природного газа</v>
          </cell>
          <cell r="H275" t="str">
            <v>Расход природного газа в рамках минимального уровня оптовой цены на газ, тыс.куб.м.</v>
          </cell>
          <cell r="I275" t="str">
            <v>Оптовая цена, руб./тыс.куб.м. (c НДС)</v>
          </cell>
          <cell r="J275" t="str">
            <v>Сумма затрат на газ, тыс.руб. (c НДС)</v>
          </cell>
          <cell r="K275" t="str">
            <v>Расход природного газа в рамках максимального уровня оптовой цены на газ, тыс.куб.м.</v>
          </cell>
          <cell r="L275" t="str">
            <v>Оптовая цена, руб./тыс.куб.м. (c НДС)</v>
          </cell>
          <cell r="M275" t="str">
            <v>Сумма затрат на газ, тыс.руб. (c НДС)</v>
          </cell>
          <cell r="N275" t="str">
            <v>Тариф на транспортировку природного газа, руб./тыс.куб.м. (c НДС)</v>
          </cell>
          <cell r="O275" t="str">
            <v>Сумма затрат на транспортировку природного газа, тыс.руб. (c НДС)</v>
          </cell>
          <cell r="P275" t="str">
            <v>ПССУ, руб./тыс.куб.м. (c НДС)</v>
          </cell>
          <cell r="Q275" t="str">
            <v>Сумма затрат на снабженческо-сбытовые услуги, тыс.руб. (c НДС)</v>
          </cell>
          <cell r="R275" t="str">
            <v>Итого расходы на природный газ, тыс.руб. (c НДС)</v>
          </cell>
          <cell r="S275">
            <v>0</v>
          </cell>
        </row>
        <row r="276">
          <cell r="D276">
            <v>0</v>
          </cell>
          <cell r="E276">
            <v>0</v>
          </cell>
          <cell r="F276" t="str">
            <v>1</v>
          </cell>
          <cell r="G276" t="str">
            <v>2</v>
          </cell>
          <cell r="H276" t="str">
            <v>3</v>
          </cell>
          <cell r="I276" t="str">
            <v>4</v>
          </cell>
          <cell r="J276" t="str">
            <v>5</v>
          </cell>
          <cell r="K276" t="str">
            <v>6</v>
          </cell>
          <cell r="L276" t="str">
            <v>7</v>
          </cell>
          <cell r="M276" t="str">
            <v>8</v>
          </cell>
          <cell r="N276" t="str">
            <v>9</v>
          </cell>
          <cell r="O276" t="str">
            <v>10</v>
          </cell>
          <cell r="P276" t="str">
            <v>11</v>
          </cell>
          <cell r="Q276" t="str">
            <v>12</v>
          </cell>
          <cell r="R276" t="str">
            <v>13</v>
          </cell>
          <cell r="S276">
            <v>0</v>
          </cell>
        </row>
        <row r="277">
          <cell r="D277">
            <v>0</v>
          </cell>
          <cell r="E277">
            <v>0</v>
          </cell>
          <cell r="F277">
            <v>1</v>
          </cell>
          <cell r="G277" t="str">
            <v>1 группа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</row>
        <row r="278">
          <cell r="D278">
            <v>0</v>
          </cell>
          <cell r="E278">
            <v>0</v>
          </cell>
          <cell r="F278">
            <v>2</v>
          </cell>
          <cell r="G278" t="str">
            <v>2 группа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</row>
        <row r="279">
          <cell r="D279">
            <v>0</v>
          </cell>
          <cell r="E279">
            <v>0</v>
          </cell>
          <cell r="F279">
            <v>3</v>
          </cell>
          <cell r="G279" t="str">
            <v>3 группа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</row>
        <row r="280">
          <cell r="D280">
            <v>0</v>
          </cell>
          <cell r="E280">
            <v>0</v>
          </cell>
          <cell r="F280">
            <v>4</v>
          </cell>
          <cell r="G280" t="str">
            <v>4 группа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</row>
        <row r="281">
          <cell r="D281">
            <v>0</v>
          </cell>
          <cell r="E281">
            <v>0</v>
          </cell>
          <cell r="F281">
            <v>5</v>
          </cell>
          <cell r="G281" t="str">
            <v>5 группа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</row>
        <row r="282">
          <cell r="D282">
            <v>0</v>
          </cell>
          <cell r="E282">
            <v>0</v>
          </cell>
          <cell r="F282">
            <v>6</v>
          </cell>
          <cell r="G282" t="str">
            <v>6 группа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</row>
        <row r="283">
          <cell r="D283">
            <v>0</v>
          </cell>
          <cell r="E283">
            <v>0</v>
          </cell>
          <cell r="F283">
            <v>7</v>
          </cell>
          <cell r="G283" t="str">
            <v>7 группа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</row>
        <row r="284"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</row>
        <row r="285"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11">
          <cell r="J11">
            <v>0</v>
          </cell>
          <cell r="K11">
            <v>0</v>
          </cell>
          <cell r="M11">
            <v>0</v>
          </cell>
          <cell r="O11">
            <v>0</v>
          </cell>
          <cell r="T11">
            <v>0</v>
          </cell>
          <cell r="V11">
            <v>0</v>
          </cell>
          <cell r="X11">
            <v>0</v>
          </cell>
        </row>
        <row r="12">
          <cell r="J12">
            <v>3216.1248000000001</v>
          </cell>
          <cell r="K12">
            <v>0</v>
          </cell>
          <cell r="L12">
            <v>3524.5593600000007</v>
          </cell>
          <cell r="M12">
            <v>0</v>
          </cell>
          <cell r="N12">
            <v>3834.7205836800008</v>
          </cell>
          <cell r="O12">
            <v>0</v>
          </cell>
          <cell r="P12">
            <v>3788.9013120000009</v>
          </cell>
          <cell r="R12">
            <v>3524.5593600000007</v>
          </cell>
          <cell r="T12">
            <v>3788.9013120000009</v>
          </cell>
          <cell r="V12">
            <v>3834.7205836800008</v>
          </cell>
          <cell r="X12">
            <v>0</v>
          </cell>
        </row>
        <row r="13"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R13">
            <v>0</v>
          </cell>
          <cell r="T13">
            <v>0</v>
          </cell>
          <cell r="V13">
            <v>0</v>
          </cell>
          <cell r="X13">
            <v>0</v>
          </cell>
        </row>
        <row r="14"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R14">
            <v>0</v>
          </cell>
          <cell r="T14">
            <v>0</v>
          </cell>
          <cell r="V14">
            <v>0</v>
          </cell>
          <cell r="X14">
            <v>0</v>
          </cell>
        </row>
        <row r="15"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R15">
            <v>0</v>
          </cell>
          <cell r="T15">
            <v>0</v>
          </cell>
          <cell r="V15">
            <v>0</v>
          </cell>
          <cell r="X15">
            <v>0</v>
          </cell>
        </row>
        <row r="16">
          <cell r="J16">
            <v>3216.1248000000001</v>
          </cell>
          <cell r="K16">
            <v>0</v>
          </cell>
          <cell r="M16">
            <v>0</v>
          </cell>
          <cell r="O16">
            <v>0</v>
          </cell>
          <cell r="T16">
            <v>3788.9013120000009</v>
          </cell>
          <cell r="V16">
            <v>3834.7205836800008</v>
          </cell>
          <cell r="X16">
            <v>0</v>
          </cell>
        </row>
      </sheetData>
      <sheetData sheetId="60"/>
      <sheetData sheetId="61"/>
      <sheetData sheetId="62"/>
      <sheetData sheetId="63"/>
      <sheetData sheetId="64"/>
      <sheetData sheetId="65"/>
      <sheetData sheetId="66"/>
      <sheetData sheetId="67">
        <row r="27">
          <cell r="I27">
            <v>514.5</v>
          </cell>
          <cell r="Z27">
            <v>545.31915814673573</v>
          </cell>
        </row>
      </sheetData>
      <sheetData sheetId="68"/>
      <sheetData sheetId="69">
        <row r="11"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R11">
            <v>0</v>
          </cell>
          <cell r="T11">
            <v>0</v>
          </cell>
          <cell r="V11">
            <v>0</v>
          </cell>
          <cell r="X11">
            <v>0</v>
          </cell>
        </row>
        <row r="12"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R12">
            <v>0</v>
          </cell>
          <cell r="T12">
            <v>0</v>
          </cell>
          <cell r="V12">
            <v>0</v>
          </cell>
          <cell r="X12">
            <v>0</v>
          </cell>
        </row>
        <row r="20"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R20">
            <v>0</v>
          </cell>
          <cell r="T20">
            <v>0</v>
          </cell>
          <cell r="V20">
            <v>0</v>
          </cell>
          <cell r="X20">
            <v>0</v>
          </cell>
        </row>
        <row r="28"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R28">
            <v>0</v>
          </cell>
          <cell r="T28">
            <v>0</v>
          </cell>
          <cell r="V28">
            <v>0</v>
          </cell>
          <cell r="X28">
            <v>0</v>
          </cell>
        </row>
      </sheetData>
      <sheetData sheetId="70"/>
      <sheetData sheetId="71"/>
      <sheetData sheetId="72">
        <row r="12">
          <cell r="U12">
            <v>1543.1823000000002</v>
          </cell>
        </row>
        <row r="13">
          <cell r="U13">
            <v>2255.0250000000001</v>
          </cell>
        </row>
        <row r="14">
          <cell r="U14">
            <v>3300.7412574733971</v>
          </cell>
        </row>
        <row r="15">
          <cell r="O15">
            <v>789.45952561992181</v>
          </cell>
          <cell r="U15">
            <v>430.58840956467407</v>
          </cell>
        </row>
        <row r="17">
          <cell r="U17">
            <v>15.469330391200003</v>
          </cell>
        </row>
        <row r="18">
          <cell r="U18">
            <v>298.15093787040001</v>
          </cell>
        </row>
        <row r="19">
          <cell r="U19">
            <v>236.61310398700002</v>
          </cell>
        </row>
        <row r="20">
          <cell r="U20">
            <v>25.76596</v>
          </cell>
        </row>
        <row r="21">
          <cell r="U21">
            <v>0</v>
          </cell>
        </row>
        <row r="22">
          <cell r="U22">
            <v>142.75081155000001</v>
          </cell>
        </row>
        <row r="23">
          <cell r="O23">
            <v>23.690867200000003</v>
          </cell>
          <cell r="U23">
            <v>18.579440000000002</v>
          </cell>
        </row>
        <row r="24">
          <cell r="U24">
            <v>13.153447999999999</v>
          </cell>
        </row>
        <row r="25">
          <cell r="L25">
            <v>0</v>
          </cell>
          <cell r="O25">
            <v>0</v>
          </cell>
          <cell r="R25">
            <v>0</v>
          </cell>
          <cell r="U25">
            <v>0</v>
          </cell>
        </row>
        <row r="26">
          <cell r="O26">
            <v>47.329763499199998</v>
          </cell>
          <cell r="U26">
            <v>37.193719079999994</v>
          </cell>
        </row>
        <row r="27">
          <cell r="O27">
            <v>46.43813792800001</v>
          </cell>
          <cell r="R27">
            <v>48.806482962327998</v>
          </cell>
          <cell r="U27">
            <v>34.461820199999998</v>
          </cell>
        </row>
        <row r="35">
          <cell r="U35">
            <v>217.27936300000002</v>
          </cell>
        </row>
        <row r="36">
          <cell r="U36">
            <v>189.3</v>
          </cell>
        </row>
        <row r="37">
          <cell r="U37">
            <v>2385.8870028000001</v>
          </cell>
        </row>
        <row r="38">
          <cell r="U38">
            <v>962.15484492465157</v>
          </cell>
        </row>
        <row r="40">
          <cell r="U40">
            <v>1432.7</v>
          </cell>
        </row>
        <row r="41">
          <cell r="L41">
            <v>0.76213200000000003</v>
          </cell>
          <cell r="O41">
            <v>0.79261727999999998</v>
          </cell>
          <cell r="U41">
            <v>0</v>
          </cell>
        </row>
        <row r="43">
          <cell r="U43">
            <v>98.000314000000003</v>
          </cell>
          <cell r="X43">
            <v>98.974332212000022</v>
          </cell>
        </row>
        <row r="46">
          <cell r="U46">
            <v>51391.117620987017</v>
          </cell>
        </row>
        <row r="47">
          <cell r="L47">
            <v>10.801096039999999</v>
          </cell>
          <cell r="O47">
            <v>11.755856000000001</v>
          </cell>
          <cell r="U47">
            <v>8.8310960399999985</v>
          </cell>
        </row>
        <row r="51">
          <cell r="U51">
            <v>489.95307000000003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>
        <row r="2">
          <cell r="B2" t="str">
            <v>да</v>
          </cell>
          <cell r="D2">
            <v>2011</v>
          </cell>
          <cell r="E2" t="str">
            <v>общая</v>
          </cell>
          <cell r="F2" t="str">
            <v>является</v>
          </cell>
          <cell r="G2" t="str">
            <v>комбинированная</v>
          </cell>
          <cell r="H2" t="str">
            <v>МУ</v>
          </cell>
          <cell r="I2" t="str">
            <v>ООО "Донэнергосбыт"</v>
          </cell>
          <cell r="J2" t="str">
            <v>газ</v>
          </cell>
          <cell r="R2">
            <v>0</v>
          </cell>
          <cell r="T2" t="str">
            <v>3 года</v>
          </cell>
          <cell r="V2" t="str">
            <v>1</v>
          </cell>
          <cell r="X2" t="str">
            <v>3 года</v>
          </cell>
        </row>
        <row r="3">
          <cell r="B3" t="str">
            <v>нет</v>
          </cell>
          <cell r="D3">
            <v>2012</v>
          </cell>
          <cell r="E3" t="str">
            <v>упрощенная</v>
          </cell>
          <cell r="F3" t="str">
            <v>не является</v>
          </cell>
          <cell r="G3" t="str">
            <v>некомбинированная</v>
          </cell>
          <cell r="H3" t="str">
            <v>МУП</v>
          </cell>
          <cell r="I3" t="str">
            <v>ОАО "Энергосбыт Ростовэнерго"</v>
          </cell>
          <cell r="J3" t="str">
            <v>газ, уголь</v>
          </cell>
          <cell r="R3">
            <v>1</v>
          </cell>
          <cell r="T3" t="str">
            <v>более 3 лет</v>
          </cell>
          <cell r="V3" t="str">
            <v>2</v>
          </cell>
          <cell r="X3" t="str">
            <v>5 лет</v>
          </cell>
        </row>
        <row r="4">
          <cell r="D4">
            <v>2013</v>
          </cell>
          <cell r="H4" t="str">
            <v>ГУП</v>
          </cell>
          <cell r="I4" t="str">
            <v>Прочие (вводятся с клавиатуры)</v>
          </cell>
          <cell r="J4" t="str">
            <v>уголь</v>
          </cell>
          <cell r="R4">
            <v>2</v>
          </cell>
          <cell r="T4" t="str">
            <v>нет</v>
          </cell>
          <cell r="V4" t="str">
            <v>3</v>
          </cell>
        </row>
        <row r="5">
          <cell r="D5">
            <v>2014</v>
          </cell>
          <cell r="H5" t="str">
            <v>ООО</v>
          </cell>
          <cell r="J5" t="str">
            <v>прочее (вводится с клавиатуры)</v>
          </cell>
          <cell r="R5">
            <v>3</v>
          </cell>
          <cell r="V5" t="str">
            <v>4</v>
          </cell>
        </row>
        <row r="6">
          <cell r="D6">
            <v>2015</v>
          </cell>
          <cell r="H6" t="str">
            <v>ОАО</v>
          </cell>
          <cell r="R6">
            <v>4</v>
          </cell>
          <cell r="V6" t="str">
            <v>5</v>
          </cell>
        </row>
        <row r="7">
          <cell r="D7">
            <v>2016</v>
          </cell>
          <cell r="H7" t="str">
            <v>ЗАО</v>
          </cell>
          <cell r="R7">
            <v>5</v>
          </cell>
          <cell r="V7" t="str">
            <v>6</v>
          </cell>
        </row>
        <row r="8">
          <cell r="D8">
            <v>2017</v>
          </cell>
          <cell r="H8" t="str">
            <v>Товарищество</v>
          </cell>
          <cell r="R8">
            <v>6</v>
          </cell>
          <cell r="V8" t="str">
            <v>7</v>
          </cell>
        </row>
        <row r="9">
          <cell r="D9">
            <v>2018</v>
          </cell>
          <cell r="H9" t="str">
            <v>ИП</v>
          </cell>
          <cell r="R9">
            <v>7</v>
          </cell>
          <cell r="V9" t="str">
            <v>8</v>
          </cell>
        </row>
        <row r="10">
          <cell r="D10">
            <v>2019</v>
          </cell>
          <cell r="H10" t="str">
            <v>ЖСК</v>
          </cell>
          <cell r="R10">
            <v>8</v>
          </cell>
          <cell r="V10" t="str">
            <v>9</v>
          </cell>
        </row>
        <row r="11">
          <cell r="D11">
            <v>2020</v>
          </cell>
          <cell r="H11" t="str">
            <v>ТСЖ</v>
          </cell>
          <cell r="R11">
            <v>9</v>
          </cell>
          <cell r="V11" t="str">
            <v>10</v>
          </cell>
        </row>
        <row r="12">
          <cell r="R12">
            <v>10</v>
          </cell>
          <cell r="V12" t="str">
            <v>11</v>
          </cell>
        </row>
        <row r="13">
          <cell r="V13" t="str">
            <v>12</v>
          </cell>
        </row>
        <row r="14">
          <cell r="V14" t="str">
            <v>13</v>
          </cell>
        </row>
        <row r="15">
          <cell r="V15" t="str">
            <v>14</v>
          </cell>
        </row>
        <row r="16">
          <cell r="V16" t="str">
            <v>15</v>
          </cell>
        </row>
        <row r="17">
          <cell r="V17" t="str">
            <v>16</v>
          </cell>
        </row>
        <row r="18">
          <cell r="V18" t="str">
            <v>17</v>
          </cell>
        </row>
        <row r="19">
          <cell r="V19" t="str">
            <v>18</v>
          </cell>
        </row>
        <row r="20">
          <cell r="V20" t="str">
            <v>19</v>
          </cell>
        </row>
        <row r="21">
          <cell r="V21" t="str">
            <v>20</v>
          </cell>
        </row>
      </sheetData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>
        <row r="2">
          <cell r="D2" t="str">
            <v>Азовский район</v>
          </cell>
        </row>
        <row r="3">
          <cell r="D3" t="str">
            <v>Аксайский район</v>
          </cell>
        </row>
        <row r="4">
          <cell r="D4" t="str">
            <v>Багаевский район</v>
          </cell>
        </row>
        <row r="5">
          <cell r="D5" t="str">
            <v>Белокалитвинский район</v>
          </cell>
        </row>
        <row r="6">
          <cell r="D6" t="str">
            <v>Боковский район</v>
          </cell>
        </row>
        <row r="7">
          <cell r="D7" t="str">
            <v>Верхнедонской район</v>
          </cell>
        </row>
        <row r="8">
          <cell r="D8" t="str">
            <v>Веселовский район</v>
          </cell>
        </row>
        <row r="9">
          <cell r="D9" t="str">
            <v>Волгодонской район</v>
          </cell>
        </row>
        <row r="10">
          <cell r="D10" t="str">
            <v>Город Азов</v>
          </cell>
        </row>
        <row r="11">
          <cell r="D11" t="str">
            <v>Город Батайск</v>
          </cell>
        </row>
        <row r="12">
          <cell r="D12" t="str">
            <v>Город Волгодонск</v>
          </cell>
        </row>
        <row r="13">
          <cell r="D13" t="str">
            <v>Город Гуково</v>
          </cell>
        </row>
        <row r="14">
          <cell r="D14" t="str">
            <v>Город Донецк</v>
          </cell>
        </row>
        <row r="15">
          <cell r="D15" t="str">
            <v>Город Зверево</v>
          </cell>
        </row>
        <row r="16">
          <cell r="D16" t="str">
            <v>Город Каменск-Шахтинский</v>
          </cell>
        </row>
        <row r="17">
          <cell r="D17" t="str">
            <v>Город Новочеркасск</v>
          </cell>
        </row>
        <row r="18">
          <cell r="D18" t="str">
            <v>Город Новошахтинск</v>
          </cell>
        </row>
        <row r="19">
          <cell r="D19" t="str">
            <v>Город Ростов-на-Дону</v>
          </cell>
        </row>
        <row r="20">
          <cell r="D20" t="str">
            <v>Город Таганрог</v>
          </cell>
        </row>
        <row r="21">
          <cell r="D21" t="str">
            <v>Город Шахты</v>
          </cell>
        </row>
        <row r="22">
          <cell r="D22" t="str">
            <v>Дубовский район</v>
          </cell>
        </row>
        <row r="23">
          <cell r="D23" t="str">
            <v>Егорлыкский район</v>
          </cell>
        </row>
        <row r="24">
          <cell r="D24" t="str">
            <v>Заветинский район</v>
          </cell>
        </row>
        <row r="25">
          <cell r="D25" t="str">
            <v>Зерноградский район</v>
          </cell>
        </row>
        <row r="26">
          <cell r="D26" t="str">
            <v>Зимовниковский район</v>
          </cell>
        </row>
        <row r="27">
          <cell r="D27" t="str">
            <v>Кагальницкий район</v>
          </cell>
        </row>
        <row r="28">
          <cell r="D28" t="str">
            <v>Каменский район</v>
          </cell>
        </row>
        <row r="29">
          <cell r="D29" t="str">
            <v>Кашарский район</v>
          </cell>
        </row>
        <row r="30">
          <cell r="D30" t="str">
            <v>Константиновский район</v>
          </cell>
        </row>
        <row r="31">
          <cell r="D31" t="str">
            <v>Красносулинский район</v>
          </cell>
        </row>
        <row r="32">
          <cell r="D32" t="str">
            <v>Куйбышевский район</v>
          </cell>
        </row>
        <row r="33">
          <cell r="D33" t="str">
            <v>Мартыновский район</v>
          </cell>
        </row>
        <row r="34">
          <cell r="D34" t="str">
            <v>Матвеево-Курганский район</v>
          </cell>
        </row>
        <row r="35">
          <cell r="D35" t="str">
            <v>Миллеровский район</v>
          </cell>
        </row>
        <row r="36">
          <cell r="D36" t="str">
            <v>Милютинский район</v>
          </cell>
        </row>
        <row r="37">
          <cell r="D37" t="str">
            <v>Морозовский район</v>
          </cell>
        </row>
        <row r="38">
          <cell r="D38" t="str">
            <v>Мясниковский район</v>
          </cell>
        </row>
        <row r="39">
          <cell r="D39" t="str">
            <v>Неклиновский район</v>
          </cell>
        </row>
        <row r="40">
          <cell r="D40" t="str">
            <v>Обливский район</v>
          </cell>
        </row>
        <row r="41">
          <cell r="D41" t="str">
            <v>Октябрьский район</v>
          </cell>
        </row>
        <row r="42">
          <cell r="D42" t="str">
            <v>Орловский район</v>
          </cell>
        </row>
        <row r="43">
          <cell r="D43" t="str">
            <v>Песчанокопский район</v>
          </cell>
        </row>
        <row r="44">
          <cell r="D44" t="str">
            <v>Пролетарский район</v>
          </cell>
        </row>
        <row r="45">
          <cell r="D45" t="str">
            <v>Ремонтненский район</v>
          </cell>
        </row>
        <row r="46">
          <cell r="D46" t="str">
            <v>Родионово-Несветайский район</v>
          </cell>
        </row>
        <row r="47">
          <cell r="D47" t="str">
            <v>Сальский район</v>
          </cell>
        </row>
        <row r="48">
          <cell r="D48" t="str">
            <v>Семикаракорский район</v>
          </cell>
        </row>
        <row r="49">
          <cell r="D49" t="str">
            <v>Советский район</v>
          </cell>
        </row>
        <row r="50">
          <cell r="D50" t="str">
            <v>Тарасовский район</v>
          </cell>
        </row>
        <row r="51">
          <cell r="D51" t="str">
            <v>Тацинский район</v>
          </cell>
        </row>
        <row r="52">
          <cell r="D52" t="str">
            <v>Усть-Донецкий район</v>
          </cell>
        </row>
        <row r="53">
          <cell r="D53" t="str">
            <v>Целинский район</v>
          </cell>
        </row>
        <row r="54">
          <cell r="D54" t="str">
            <v>Цимлянский район</v>
          </cell>
        </row>
        <row r="55">
          <cell r="D55" t="str">
            <v>Чертковский район</v>
          </cell>
        </row>
        <row r="56">
          <cell r="D56" t="str">
            <v>Шолоховский район</v>
          </cell>
        </row>
      </sheetData>
      <sheetData sheetId="149"/>
      <sheetData sheetId="150"/>
      <sheetData sheetId="151"/>
      <sheetData sheetId="152"/>
      <sheetData sheetId="153"/>
      <sheetData sheetId="154"/>
      <sheetData sheetId="15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Точность"/>
      <sheetName val="стандарты"/>
      <sheetName val="ПО по МО"/>
      <sheetName val="таблица1"/>
      <sheetName val="Исходные данные"/>
      <sheetName val="Факт"/>
      <sheetName val="И 3.1"/>
      <sheetName val="Таблица 3.1"/>
      <sheetName val="И.4.1_ПО ТЭ"/>
      <sheetName val="Таблица 4.1"/>
      <sheetName val="И.4.2_ПО ТН"/>
      <sheetName val="Таблица 4.2"/>
      <sheetName val="И.4.3_Стр.ПО ТЭ"/>
      <sheetName val="Таблица 4.3"/>
      <sheetName val="таблица3"/>
      <sheetName val="Сырье ОР"/>
      <sheetName val="И.Доп.к статье 1.2"/>
      <sheetName val="Ремонт ОР"/>
      <sheetName val="Численность ОР"/>
      <sheetName val="Таблица 8"/>
      <sheetName val="Таблица 4.9 ОР"/>
      <sheetName val="таблица5"/>
      <sheetName val="Работы и услуги ОР"/>
      <sheetName val="И.Доп.к статье 1.5"/>
      <sheetName val="Иные работы ОР"/>
      <sheetName val="И.таблица10"/>
      <sheetName val="Прочие ОР"/>
      <sheetName val="И.прил.2"/>
      <sheetName val="У.Е."/>
      <sheetName val="И.5.2_ОР.периоды"/>
      <sheetName val="И.5.1_ОР"/>
      <sheetName val="Таблица 5.2"/>
      <sheetName val="Таблица 5.1"/>
      <sheetName val="И.Доп.к статье 2.1"/>
      <sheetName val="Смета"/>
      <sheetName val="Рег.услуги НР"/>
      <sheetName val="И.таблица9"/>
      <sheetName val="Таблица 4.10 НР"/>
      <sheetName val="И.Прочие неподконтрольные"/>
      <sheetName val="Прочие НР"/>
      <sheetName val="И.Налог на прибыль"/>
      <sheetName val="Налог на прибыль НР"/>
      <sheetName val="И.5.3_НР"/>
      <sheetName val="Таблица 5.3"/>
      <sheetName val="И.4.8_ХВС и ТН"/>
      <sheetName val="4.4_Топливо"/>
      <sheetName val="4.5_Баланс топлива"/>
      <sheetName val="Таблица 4.5"/>
      <sheetName val="Таблица6"/>
      <sheetName val="Топливо(ТСО)"/>
      <sheetName val="таблица7"/>
      <sheetName val="Топливо(РСТ)"/>
      <sheetName val="Таблица 4.4"/>
      <sheetName val="Таблица 4.7"/>
      <sheetName val="Таблица 4.8"/>
      <sheetName val="И.5.4_ресурс."/>
      <sheetName val="Таблица 4.12"/>
      <sheetName val="Таблица 5.4"/>
      <sheetName val="И.5.5_Эк.ОР"/>
      <sheetName val="Таблица 5.5"/>
      <sheetName val="И.5.6_Эк.топл"/>
      <sheetName val="Таблица 5.6"/>
      <sheetName val="И.5.7_Эк.пр.рес"/>
      <sheetName val="Таблица 5.7"/>
      <sheetName val="И.Прибыль"/>
      <sheetName val="Прибыль"/>
      <sheetName val="И.Результаты деятельности"/>
      <sheetName val="Результаты деятельности"/>
      <sheetName val="И.смета"/>
      <sheetName val="Заключение"/>
      <sheetName val="ДПР"/>
      <sheetName val="Для справки"/>
      <sheetName val="Прил.к п.4.1 "/>
      <sheetName val="Основания"/>
      <sheetName val="Прил.к Протоколу"/>
      <sheetName val="И.6.1"/>
      <sheetName val="И.6.2"/>
      <sheetName val="И.6.3"/>
      <sheetName val="И.6.4"/>
      <sheetName val="И.6.5"/>
      <sheetName val="И.6.6"/>
      <sheetName val="И.6.7"/>
      <sheetName val="И.6.8"/>
      <sheetName val="Комментарии"/>
      <sheetName val="Проверка"/>
      <sheetName val="modInfo"/>
      <sheetName val="mod20020frmReestr"/>
      <sheetName val="et_col_union"/>
      <sheetName val="et_union"/>
      <sheetName val="TEHSHEET"/>
      <sheetName val="modUpdTemplMain"/>
      <sheetName val="modfrmCheckUpdates"/>
      <sheetName val="modfrmUpdateIsInProgress"/>
      <sheetName val="mod_00"/>
      <sheetName val="mod_01"/>
      <sheetName val="mod_02"/>
      <sheetName val="mod_03"/>
      <sheetName val="mod_04"/>
      <sheetName val="mod_05"/>
      <sheetName val="mod_08"/>
      <sheetName val="mod_11"/>
      <sheetName val="mod_12"/>
      <sheetName val="mod_13"/>
      <sheetName val="mod_15"/>
      <sheetName val="mod_16"/>
      <sheetName val="mod_17"/>
      <sheetName val="mod_19"/>
      <sheetName val="mod_20"/>
      <sheetName val="mod_21"/>
      <sheetName val="mod_22"/>
      <sheetName val="mod_23"/>
      <sheetName val="mod_24"/>
      <sheetName val="mod_28"/>
      <sheetName val="mod_29"/>
      <sheetName val="mod_30"/>
      <sheetName val="mod_32"/>
      <sheetName val="mod_34"/>
      <sheetName val="mod_37"/>
      <sheetName val="mod_43"/>
      <sheetName val="mod_44"/>
      <sheetName val="mod_45"/>
      <sheetName val="mod_47"/>
      <sheetName val="mod_52"/>
      <sheetName val="mod_53"/>
      <sheetName val="mod_54"/>
      <sheetName val="mod_56"/>
      <sheetName val="mod_57"/>
      <sheetName val="mod_58"/>
      <sheetName val="mod_59"/>
      <sheetName val="mod_60"/>
      <sheetName val="mod_61"/>
      <sheetName val="mod_62"/>
      <sheetName val="mod_63"/>
      <sheetName val="mod_64"/>
      <sheetName val="mod_65"/>
      <sheetName val="mod_66"/>
      <sheetName val="mod_67"/>
      <sheetName val="modGlobalAddRange"/>
      <sheetName val="modfrmDateChoose"/>
      <sheetName val="modPROV"/>
      <sheetName val="modCommonProv"/>
      <sheetName val="modProvGeneralProc"/>
      <sheetName val="AllSheetsInThisWorkbook"/>
      <sheetName val="modReestr"/>
      <sheetName val="REESTR_MO"/>
      <sheetName val="REESTR_ORG"/>
      <sheetName val="modClassifierValidate"/>
      <sheetName val="modInstruction"/>
      <sheetName val="modCommandButton"/>
      <sheetName val="modHyp"/>
      <sheetName val="modChange"/>
      <sheetName val="modDblClick"/>
    </sheetNames>
    <sheetDataSet>
      <sheetData sheetId="0"/>
      <sheetData sheetId="1"/>
      <sheetData sheetId="2">
        <row r="8">
          <cell r="F8">
            <v>2016</v>
          </cell>
        </row>
        <row r="11">
          <cell r="F11" t="str">
            <v>да</v>
          </cell>
        </row>
        <row r="13">
          <cell r="F13" t="str">
            <v>нет</v>
          </cell>
        </row>
        <row r="15">
          <cell r="F15" t="str">
            <v>да</v>
          </cell>
        </row>
        <row r="17">
          <cell r="F17" t="str">
            <v>нет</v>
          </cell>
        </row>
        <row r="19">
          <cell r="F19" t="str">
            <v>нет</v>
          </cell>
        </row>
        <row r="32">
          <cell r="F32" t="str">
            <v>Филиал ПАО "ОГК-2" Новочеркасская ГРЭС</v>
          </cell>
        </row>
        <row r="34">
          <cell r="F34" t="str">
            <v>2607018122</v>
          </cell>
        </row>
        <row r="35">
          <cell r="F35" t="str">
            <v>615043001</v>
          </cell>
        </row>
        <row r="38">
          <cell r="F38" t="str">
            <v>Город Новочеркасск</v>
          </cell>
        </row>
        <row r="40">
          <cell r="F40" t="str">
            <v>Город Новочеркасск</v>
          </cell>
        </row>
        <row r="48">
          <cell r="F48" t="str">
            <v>нет</v>
          </cell>
        </row>
        <row r="73">
          <cell r="F73">
            <v>0</v>
          </cell>
        </row>
        <row r="74">
          <cell r="F74" t="str">
            <v>не является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BJ2">
            <v>0</v>
          </cell>
          <cell r="BT2">
            <v>0</v>
          </cell>
          <cell r="CD2">
            <v>0</v>
          </cell>
        </row>
        <row r="3">
          <cell r="BJ3">
            <v>0</v>
          </cell>
          <cell r="BT3">
            <v>0</v>
          </cell>
          <cell r="CD3">
            <v>0</v>
          </cell>
        </row>
        <row r="5"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Z5">
            <v>0</v>
          </cell>
          <cell r="CA5">
            <v>0</v>
          </cell>
          <cell r="CB5">
            <v>0</v>
          </cell>
          <cell r="CC5">
            <v>0</v>
          </cell>
          <cell r="CD5">
            <v>0</v>
          </cell>
        </row>
        <row r="6"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</row>
        <row r="7">
          <cell r="BJ7">
            <v>0</v>
          </cell>
          <cell r="BT7">
            <v>0</v>
          </cell>
          <cell r="CD7">
            <v>0</v>
          </cell>
        </row>
        <row r="8"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</row>
        <row r="9"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</row>
        <row r="10">
          <cell r="J10" t="str">
            <v>в том числе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R10" t="str">
            <v>в том числе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AB10" t="str">
            <v>в том числе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L10" t="str">
            <v>в том числе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V10" t="str">
            <v>в том числе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F10" t="str">
            <v>в том числе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P10" t="str">
            <v>в том числе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Z10" t="str">
            <v>в том числе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</row>
        <row r="11">
          <cell r="J11" t="str">
            <v>1,2 - 2,5 кгс/см2</v>
          </cell>
          <cell r="K11" t="str">
            <v>2,5 - 7,0 кгс/см2</v>
          </cell>
          <cell r="L11" t="str">
            <v>7,0 - 13,0 кгс/см2</v>
          </cell>
          <cell r="M11" t="str">
            <v>&gt; 13 кгс/см2</v>
          </cell>
          <cell r="N11" t="str">
            <v>острый и редуцированный пар</v>
          </cell>
          <cell r="R11" t="str">
            <v>1,2 - 2,5 кгс/см2</v>
          </cell>
          <cell r="S11" t="str">
            <v>2,5 - 7,0 кгс/см2</v>
          </cell>
          <cell r="T11" t="str">
            <v>7,0 - 13,0 кгс/см2</v>
          </cell>
          <cell r="U11" t="str">
            <v>&gt; 13 кгс/см2</v>
          </cell>
          <cell r="V11" t="str">
            <v>острый и редуцированный пар</v>
          </cell>
          <cell r="AB11" t="str">
            <v>1,2 - 2,5 кгс/см2</v>
          </cell>
          <cell r="AC11" t="str">
            <v>2,5 - 7,0 кгс/см2</v>
          </cell>
          <cell r="AD11" t="str">
            <v>7,0 - 13,0 кгс/см2</v>
          </cell>
          <cell r="AE11" t="str">
            <v>&gt; 13 кгс/см2</v>
          </cell>
          <cell r="AF11" t="str">
            <v>острый и редуцированный пар</v>
          </cell>
          <cell r="AL11" t="str">
            <v>1,2 - 2,5 кгс/см2</v>
          </cell>
          <cell r="AM11" t="str">
            <v>2,5 - 7,0 кгс/см2</v>
          </cell>
          <cell r="AN11" t="str">
            <v>7,0 - 13,0 кгс/см2</v>
          </cell>
          <cell r="AO11" t="str">
            <v>&gt; 13 кгс/см2</v>
          </cell>
          <cell r="AP11" t="str">
            <v>острый и редуцированный пар</v>
          </cell>
          <cell r="AV11" t="str">
            <v>1,2 - 2,5 кгс/см2</v>
          </cell>
          <cell r="AW11" t="str">
            <v>2,5 - 7,0 кгс/см2</v>
          </cell>
          <cell r="AX11" t="str">
            <v>7,0 - 13,0 кгс/см2</v>
          </cell>
          <cell r="AY11" t="str">
            <v>&gt; 13 кгс/см2</v>
          </cell>
          <cell r="AZ11" t="str">
            <v>острый и редуцированный пар</v>
          </cell>
          <cell r="BF11" t="str">
            <v>1,2 - 2,5 кгс/см2</v>
          </cell>
          <cell r="BG11" t="str">
            <v>2,5 - 7,0 кгс/см2</v>
          </cell>
          <cell r="BH11" t="str">
            <v>7,0 - 13,0 кгс/см2</v>
          </cell>
          <cell r="BI11" t="str">
            <v>&gt; 13 кгс/см2</v>
          </cell>
          <cell r="BJ11" t="str">
            <v>острый и редуцированный пар</v>
          </cell>
          <cell r="BP11" t="str">
            <v>1,2 - 2,5 кгс/см2</v>
          </cell>
          <cell r="BQ11" t="str">
            <v>2,5 - 7,0 кгс/см2</v>
          </cell>
          <cell r="BR11" t="str">
            <v>7,0 - 13,0 кгс/см2</v>
          </cell>
          <cell r="BS11" t="str">
            <v>&gt; 13 кгс/см2</v>
          </cell>
          <cell r="BT11" t="str">
            <v>острый и редуцированный пар</v>
          </cell>
          <cell r="BZ11" t="str">
            <v>1,2 - 2,5 кгс/см2</v>
          </cell>
          <cell r="CA11" t="str">
            <v>2,5 - 7,0 кгс/см2</v>
          </cell>
          <cell r="CB11" t="str">
            <v>7,0 - 13,0 кгс/см2</v>
          </cell>
          <cell r="CC11" t="str">
            <v>&gt; 13 кгс/см2</v>
          </cell>
          <cell r="CD11" t="str">
            <v>острый и редуцированный пар</v>
          </cell>
        </row>
        <row r="12">
          <cell r="J12">
            <v>6</v>
          </cell>
          <cell r="K12">
            <v>7</v>
          </cell>
          <cell r="L12">
            <v>8</v>
          </cell>
          <cell r="M12">
            <v>9</v>
          </cell>
          <cell r="N12">
            <v>10</v>
          </cell>
          <cell r="R12">
            <v>14</v>
          </cell>
          <cell r="S12">
            <v>15</v>
          </cell>
          <cell r="T12">
            <v>16</v>
          </cell>
          <cell r="U12">
            <v>17</v>
          </cell>
          <cell r="V12">
            <v>18</v>
          </cell>
          <cell r="AB12">
            <v>24</v>
          </cell>
          <cell r="AC12">
            <v>25</v>
          </cell>
          <cell r="AD12">
            <v>26</v>
          </cell>
          <cell r="AE12">
            <v>27</v>
          </cell>
          <cell r="AF12">
            <v>28</v>
          </cell>
          <cell r="AL12">
            <v>34</v>
          </cell>
          <cell r="AM12">
            <v>35</v>
          </cell>
          <cell r="AN12">
            <v>36</v>
          </cell>
          <cell r="AO12">
            <v>37</v>
          </cell>
          <cell r="AP12">
            <v>38</v>
          </cell>
          <cell r="AV12">
            <v>44</v>
          </cell>
          <cell r="AW12">
            <v>45</v>
          </cell>
          <cell r="AX12">
            <v>46</v>
          </cell>
          <cell r="AY12">
            <v>47</v>
          </cell>
          <cell r="AZ12">
            <v>48</v>
          </cell>
          <cell r="BF12">
            <v>54</v>
          </cell>
          <cell r="BG12">
            <v>55</v>
          </cell>
          <cell r="BH12">
            <v>56</v>
          </cell>
          <cell r="BI12">
            <v>57</v>
          </cell>
          <cell r="BJ12">
            <v>58</v>
          </cell>
          <cell r="BP12">
            <v>64</v>
          </cell>
          <cell r="BQ12">
            <v>65</v>
          </cell>
          <cell r="BR12">
            <v>66</v>
          </cell>
          <cell r="BS12">
            <v>67</v>
          </cell>
          <cell r="BT12">
            <v>68</v>
          </cell>
          <cell r="BZ12">
            <v>74</v>
          </cell>
          <cell r="CA12">
            <v>75</v>
          </cell>
          <cell r="CB12">
            <v>76</v>
          </cell>
          <cell r="CC12">
            <v>77</v>
          </cell>
          <cell r="CD12">
            <v>78</v>
          </cell>
        </row>
        <row r="13"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</row>
        <row r="14"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</row>
        <row r="15"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</row>
        <row r="17"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</row>
        <row r="18"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</row>
        <row r="20"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</row>
        <row r="21"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</row>
        <row r="25"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</row>
        <row r="26"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</row>
        <row r="27"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</row>
        <row r="28"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</row>
        <row r="30"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</row>
        <row r="31"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</row>
        <row r="37"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</row>
        <row r="41"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</row>
        <row r="50"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</row>
        <row r="52"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</row>
        <row r="54"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</row>
        <row r="55"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</row>
        <row r="56"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</row>
        <row r="57"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</row>
        <row r="63"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</row>
      </sheetData>
      <sheetData sheetId="12">
        <row r="39">
          <cell r="AG39">
            <v>46.04</v>
          </cell>
          <cell r="AH39">
            <v>33.18</v>
          </cell>
          <cell r="AI39">
            <v>79.22</v>
          </cell>
          <cell r="AQ39">
            <v>44.44</v>
          </cell>
          <cell r="AR39">
            <v>33.18</v>
          </cell>
          <cell r="AS39">
            <v>77.62</v>
          </cell>
          <cell r="BA39">
            <v>46.05</v>
          </cell>
          <cell r="BB39">
            <v>33.25</v>
          </cell>
          <cell r="BC39">
            <v>79.3</v>
          </cell>
          <cell r="BK39">
            <v>46.05</v>
          </cell>
          <cell r="BL39">
            <v>33.25</v>
          </cell>
          <cell r="BM39">
            <v>79.3</v>
          </cell>
          <cell r="BU39">
            <v>46.05</v>
          </cell>
          <cell r="BV39">
            <v>33.25</v>
          </cell>
          <cell r="BW39">
            <v>79.3</v>
          </cell>
          <cell r="CF39">
            <v>33.25</v>
          </cell>
          <cell r="CP39">
            <v>33.25</v>
          </cell>
        </row>
        <row r="44">
          <cell r="W44">
            <v>43.410000000000004</v>
          </cell>
          <cell r="X44">
            <v>36.26</v>
          </cell>
          <cell r="Y44">
            <v>79.669999999999987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1">
          <cell r="G11">
            <v>330309.87</v>
          </cell>
          <cell r="I11">
            <v>305390.05</v>
          </cell>
          <cell r="J11">
            <v>262479</v>
          </cell>
          <cell r="K11">
            <v>0</v>
          </cell>
          <cell r="M11">
            <v>0</v>
          </cell>
          <cell r="O11">
            <v>0</v>
          </cell>
          <cell r="R11">
            <v>256300</v>
          </cell>
          <cell r="T11">
            <v>271165.40000000002</v>
          </cell>
          <cell r="V11">
            <v>285922.15327665</v>
          </cell>
          <cell r="X11">
            <v>0</v>
          </cell>
        </row>
        <row r="12">
          <cell r="G12">
            <v>457078.79</v>
          </cell>
          <cell r="I12">
            <v>473637.75</v>
          </cell>
          <cell r="J12">
            <v>483342</v>
          </cell>
          <cell r="K12">
            <v>0</v>
          </cell>
          <cell r="L12">
            <v>485994</v>
          </cell>
          <cell r="M12">
            <v>0</v>
          </cell>
          <cell r="N12">
            <v>505433.76</v>
          </cell>
          <cell r="O12">
            <v>0</v>
          </cell>
          <cell r="P12">
            <v>531210.88176000002</v>
          </cell>
          <cell r="R12">
            <v>375000</v>
          </cell>
          <cell r="T12">
            <v>396750</v>
          </cell>
          <cell r="V12">
            <v>418341.03581249993</v>
          </cell>
          <cell r="X12">
            <v>0</v>
          </cell>
        </row>
        <row r="13">
          <cell r="G13">
            <v>580261.30000000005</v>
          </cell>
          <cell r="J13">
            <v>614878.05000000005</v>
          </cell>
          <cell r="K13">
            <v>0</v>
          </cell>
          <cell r="M13">
            <v>0</v>
          </cell>
          <cell r="O13">
            <v>0</v>
          </cell>
          <cell r="R13">
            <v>624785.39796960005</v>
          </cell>
          <cell r="T13">
            <v>661022.95105183683</v>
          </cell>
          <cell r="V13">
            <v>696995.65479233989</v>
          </cell>
          <cell r="X13">
            <v>0</v>
          </cell>
        </row>
        <row r="14">
          <cell r="G14">
            <v>113278.45</v>
          </cell>
          <cell r="I14">
            <v>92153.236348018967</v>
          </cell>
          <cell r="J14">
            <v>114841.79336124897</v>
          </cell>
          <cell r="K14">
            <v>0</v>
          </cell>
          <cell r="L14">
            <v>126095.63084908028</v>
          </cell>
          <cell r="M14">
            <v>0</v>
          </cell>
          <cell r="N14">
            <v>131139.45608304348</v>
          </cell>
          <cell r="O14">
            <v>0</v>
          </cell>
          <cell r="P14">
            <v>137827.56834327869</v>
          </cell>
          <cell r="R14">
            <v>88364.734927445679</v>
          </cell>
          <cell r="T14">
            <v>93489.889553237532</v>
          </cell>
          <cell r="V14">
            <v>98577.585970252316</v>
          </cell>
          <cell r="X14">
            <v>0</v>
          </cell>
        </row>
        <row r="15">
          <cell r="G15">
            <v>98059.39</v>
          </cell>
          <cell r="J15">
            <v>401613.65100000007</v>
          </cell>
          <cell r="K15">
            <v>0</v>
          </cell>
          <cell r="L15">
            <v>419541.94400000002</v>
          </cell>
          <cell r="M15">
            <v>0</v>
          </cell>
          <cell r="N15">
            <v>436323.62176000001</v>
          </cell>
          <cell r="O15">
            <v>0</v>
          </cell>
          <cell r="P15">
            <v>458576.12646975997</v>
          </cell>
          <cell r="R15">
            <v>147702.69168000002</v>
          </cell>
          <cell r="T15">
            <v>156269.44779744002</v>
          </cell>
          <cell r="V15">
            <v>164773.59207921472</v>
          </cell>
          <cell r="X15">
            <v>0</v>
          </cell>
        </row>
        <row r="16">
          <cell r="G16">
            <v>2938.58</v>
          </cell>
          <cell r="I16">
            <v>2557.2399999999998</v>
          </cell>
          <cell r="J16">
            <v>2933.94</v>
          </cell>
          <cell r="K16">
            <v>0</v>
          </cell>
          <cell r="L16">
            <v>3413.4160000000002</v>
          </cell>
          <cell r="M16">
            <v>0</v>
          </cell>
          <cell r="N16">
            <v>3549.9526400000004</v>
          </cell>
          <cell r="O16">
            <v>0</v>
          </cell>
          <cell r="P16">
            <v>3731.0002246400004</v>
          </cell>
          <cell r="R16">
            <v>3151.0515600000003</v>
          </cell>
          <cell r="T16">
            <v>3333.8125504800005</v>
          </cell>
          <cell r="V16">
            <v>3515.2377960239837</v>
          </cell>
          <cell r="X16">
            <v>0</v>
          </cell>
        </row>
        <row r="17">
          <cell r="G17">
            <v>56281.33</v>
          </cell>
          <cell r="J17">
            <v>69637.937000000005</v>
          </cell>
          <cell r="K17">
            <v>0</v>
          </cell>
          <cell r="L17">
            <v>72771.644</v>
          </cell>
          <cell r="M17">
            <v>0</v>
          </cell>
          <cell r="N17">
            <v>75682.509760000001</v>
          </cell>
          <cell r="O17">
            <v>0</v>
          </cell>
          <cell r="P17">
            <v>79542.31775776</v>
          </cell>
          <cell r="R17">
            <v>60599.784120000004</v>
          </cell>
          <cell r="T17">
            <v>64114.571598960007</v>
          </cell>
          <cell r="V17">
            <v>67603.670556732497</v>
          </cell>
          <cell r="X17">
            <v>0</v>
          </cell>
        </row>
        <row r="18">
          <cell r="G18">
            <v>6334.36</v>
          </cell>
          <cell r="J18">
            <v>46201.512999999999</v>
          </cell>
          <cell r="K18">
            <v>0</v>
          </cell>
          <cell r="L18">
            <v>48317.970999999998</v>
          </cell>
          <cell r="M18">
            <v>0</v>
          </cell>
          <cell r="N18">
            <v>50250.689839999999</v>
          </cell>
          <cell r="O18">
            <v>0</v>
          </cell>
          <cell r="P18">
            <v>52813.475021839993</v>
          </cell>
          <cell r="R18">
            <v>48317.970999999998</v>
          </cell>
          <cell r="T18">
            <v>51120.413317999999</v>
          </cell>
          <cell r="V18">
            <v>53902.373430662228</v>
          </cell>
          <cell r="X18">
            <v>0</v>
          </cell>
        </row>
        <row r="19">
          <cell r="G19">
            <v>4750</v>
          </cell>
          <cell r="J19">
            <v>6128.91</v>
          </cell>
          <cell r="K19">
            <v>0</v>
          </cell>
          <cell r="L19">
            <v>6441.49</v>
          </cell>
          <cell r="M19">
            <v>0</v>
          </cell>
          <cell r="N19">
            <v>6699.1495999999997</v>
          </cell>
          <cell r="O19">
            <v>0</v>
          </cell>
          <cell r="P19">
            <v>7040.8062295999989</v>
          </cell>
          <cell r="R19">
            <v>6441.49</v>
          </cell>
          <cell r="T19">
            <v>6815.0964199999999</v>
          </cell>
          <cell r="V19">
            <v>7185.9722634022937</v>
          </cell>
          <cell r="X19">
            <v>0</v>
          </cell>
        </row>
        <row r="20">
          <cell r="G20">
            <v>0</v>
          </cell>
          <cell r="I20">
            <v>0</v>
          </cell>
          <cell r="J20">
            <v>243076.14</v>
          </cell>
          <cell r="K20">
            <v>0</v>
          </cell>
          <cell r="L20">
            <v>255473</v>
          </cell>
          <cell r="M20">
            <v>0</v>
          </cell>
          <cell r="N20">
            <v>265691.92</v>
          </cell>
          <cell r="O20">
            <v>0</v>
          </cell>
          <cell r="P20">
            <v>279242.20791999996</v>
          </cell>
          <cell r="R20">
            <v>0</v>
          </cell>
          <cell r="T20">
            <v>0</v>
          </cell>
          <cell r="V20">
            <v>0</v>
          </cell>
          <cell r="X20">
            <v>0</v>
          </cell>
        </row>
        <row r="21">
          <cell r="G21">
            <v>27755.119999999999</v>
          </cell>
          <cell r="J21">
            <v>33635.210999999996</v>
          </cell>
          <cell r="K21">
            <v>0</v>
          </cell>
          <cell r="L21">
            <v>33124.423000000003</v>
          </cell>
          <cell r="M21">
            <v>0</v>
          </cell>
          <cell r="N21">
            <v>34449.399920000003</v>
          </cell>
          <cell r="O21">
            <v>0</v>
          </cell>
          <cell r="P21">
            <v>36206.319315920002</v>
          </cell>
          <cell r="R21">
            <v>29192.395</v>
          </cell>
          <cell r="T21">
            <v>30885.553910000002</v>
          </cell>
          <cell r="V21">
            <v>32566.338032393724</v>
          </cell>
          <cell r="X21">
            <v>0</v>
          </cell>
        </row>
        <row r="22">
          <cell r="G22">
            <v>5441.3</v>
          </cell>
          <cell r="I22">
            <v>3446.93</v>
          </cell>
          <cell r="J22">
            <v>3621</v>
          </cell>
          <cell r="K22">
            <v>0</v>
          </cell>
          <cell r="L22">
            <v>3784</v>
          </cell>
          <cell r="M22">
            <v>0</v>
          </cell>
          <cell r="N22">
            <v>3935.36</v>
          </cell>
          <cell r="O22">
            <v>0</v>
          </cell>
          <cell r="P22">
            <v>4136.0633600000001</v>
          </cell>
          <cell r="R22">
            <v>3784</v>
          </cell>
          <cell r="T22">
            <v>4003.4720000000002</v>
          </cell>
          <cell r="V22">
            <v>4221.3399453719994</v>
          </cell>
          <cell r="X22">
            <v>0</v>
          </cell>
        </row>
        <row r="23">
          <cell r="G23">
            <v>3547.94</v>
          </cell>
          <cell r="I23">
            <v>2655.6</v>
          </cell>
          <cell r="J23">
            <v>4591.6000000000004</v>
          </cell>
          <cell r="K23">
            <v>0</v>
          </cell>
          <cell r="L23">
            <v>4783.0720000000001</v>
          </cell>
          <cell r="M23">
            <v>0</v>
          </cell>
          <cell r="N23">
            <v>4974.3948800000007</v>
          </cell>
          <cell r="O23">
            <v>0</v>
          </cell>
          <cell r="P23">
            <v>5228.0890188800004</v>
          </cell>
          <cell r="R23">
            <v>4783.0720000000001</v>
          </cell>
          <cell r="T23">
            <v>5060.4901760000002</v>
          </cell>
          <cell r="V23">
            <v>5335.8807862553758</v>
          </cell>
          <cell r="X23">
            <v>0</v>
          </cell>
        </row>
        <row r="24">
          <cell r="G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R24">
            <v>0</v>
          </cell>
          <cell r="T24">
            <v>0</v>
          </cell>
          <cell r="V24">
            <v>0</v>
          </cell>
          <cell r="X24">
            <v>0</v>
          </cell>
        </row>
        <row r="25">
          <cell r="G25">
            <v>6199.06</v>
          </cell>
          <cell r="I25">
            <v>6703.11</v>
          </cell>
          <cell r="J25">
            <v>7224.1310000000003</v>
          </cell>
          <cell r="K25">
            <v>0</v>
          </cell>
          <cell r="L25">
            <v>7559.6989999999996</v>
          </cell>
          <cell r="M25">
            <v>0</v>
          </cell>
          <cell r="N25">
            <v>7862.0869599999996</v>
          </cell>
          <cell r="O25">
            <v>0</v>
          </cell>
          <cell r="P25">
            <v>8263.0533949599994</v>
          </cell>
          <cell r="R25">
            <v>7559.6989999999996</v>
          </cell>
          <cell r="T25">
            <v>7998.1615419999998</v>
          </cell>
          <cell r="V25">
            <v>8433.419493575253</v>
          </cell>
          <cell r="X25">
            <v>0</v>
          </cell>
        </row>
        <row r="26">
          <cell r="G26">
            <v>10423.200000000001</v>
          </cell>
          <cell r="I26">
            <v>8156.2</v>
          </cell>
          <cell r="J26">
            <v>7098.2</v>
          </cell>
          <cell r="K26">
            <v>0</v>
          </cell>
          <cell r="L26">
            <v>7417.2849999999999</v>
          </cell>
          <cell r="M26">
            <v>0</v>
          </cell>
          <cell r="N26">
            <v>7713.9764000000014</v>
          </cell>
          <cell r="O26">
            <v>0</v>
          </cell>
          <cell r="P26">
            <v>8107.3891963999995</v>
          </cell>
          <cell r="R26">
            <v>7004.4349999999995</v>
          </cell>
          <cell r="T26">
            <v>7410.6922299999997</v>
          </cell>
          <cell r="V26">
            <v>7813.9802484835418</v>
          </cell>
          <cell r="X26">
            <v>0</v>
          </cell>
        </row>
      </sheetData>
      <sheetData sheetId="36"/>
      <sheetData sheetId="37"/>
      <sheetData sheetId="38"/>
      <sheetData sheetId="39"/>
      <sheetData sheetId="40">
        <row r="108">
          <cell r="N108">
            <v>1432.7</v>
          </cell>
        </row>
      </sheetData>
      <sheetData sheetId="41"/>
      <sheetData sheetId="42"/>
      <sheetData sheetId="43"/>
      <sheetData sheetId="44"/>
      <sheetData sheetId="45"/>
      <sheetData sheetId="46">
        <row r="11"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R11">
            <v>0</v>
          </cell>
          <cell r="T11">
            <v>0</v>
          </cell>
          <cell r="V11">
            <v>0</v>
          </cell>
          <cell r="X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R12">
            <v>0</v>
          </cell>
          <cell r="T12">
            <v>0</v>
          </cell>
          <cell r="V12">
            <v>0</v>
          </cell>
          <cell r="X12">
            <v>0</v>
          </cell>
        </row>
        <row r="13"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R13">
            <v>0</v>
          </cell>
          <cell r="T13">
            <v>0</v>
          </cell>
          <cell r="V13">
            <v>0</v>
          </cell>
          <cell r="X13">
            <v>0</v>
          </cell>
        </row>
        <row r="14">
          <cell r="G14">
            <v>0</v>
          </cell>
          <cell r="I14">
            <v>538477.05000000005</v>
          </cell>
          <cell r="J14">
            <v>613151.08100000001</v>
          </cell>
          <cell r="K14">
            <v>0</v>
          </cell>
          <cell r="L14">
            <v>597570.00000000012</v>
          </cell>
          <cell r="M14">
            <v>0</v>
          </cell>
          <cell r="N14">
            <v>621431.97160000016</v>
          </cell>
          <cell r="O14">
            <v>0</v>
          </cell>
          <cell r="P14">
            <v>653072.94594160013</v>
          </cell>
          <cell r="R14">
            <v>529433.32000000007</v>
          </cell>
          <cell r="T14">
            <v>550569.82440000016</v>
          </cell>
          <cell r="V14">
            <v>578596.82923440007</v>
          </cell>
          <cell r="X14">
            <v>0</v>
          </cell>
        </row>
        <row r="15">
          <cell r="G15">
            <v>0</v>
          </cell>
          <cell r="I15">
            <v>44178.71</v>
          </cell>
          <cell r="J15">
            <v>46023.15</v>
          </cell>
          <cell r="K15">
            <v>0</v>
          </cell>
          <cell r="L15">
            <v>74159.83</v>
          </cell>
          <cell r="M15">
            <v>0</v>
          </cell>
          <cell r="N15">
            <v>77126.223200000008</v>
          </cell>
          <cell r="O15">
            <v>0</v>
          </cell>
          <cell r="P15">
            <v>81059.660583200006</v>
          </cell>
          <cell r="R15">
            <v>46023.15</v>
          </cell>
          <cell r="T15">
            <v>47864.076000000001</v>
          </cell>
          <cell r="V15">
            <v>50305.143875999995</v>
          </cell>
          <cell r="X15">
            <v>0</v>
          </cell>
        </row>
        <row r="16">
          <cell r="G16">
            <v>0</v>
          </cell>
          <cell r="I16">
            <v>35906.04</v>
          </cell>
          <cell r="J16">
            <v>36817.480000000003</v>
          </cell>
          <cell r="K16">
            <v>0</v>
          </cell>
          <cell r="L16">
            <v>38502.03</v>
          </cell>
          <cell r="M16">
            <v>0</v>
          </cell>
          <cell r="N16">
            <v>40042.111199999999</v>
          </cell>
          <cell r="O16">
            <v>0</v>
          </cell>
          <cell r="P16">
            <v>42084.2588712</v>
          </cell>
          <cell r="T16">
            <v>40042.111199999999</v>
          </cell>
          <cell r="V16">
            <v>42084.2588712</v>
          </cell>
          <cell r="X16">
            <v>0</v>
          </cell>
        </row>
        <row r="17">
          <cell r="G17">
            <v>0</v>
          </cell>
          <cell r="I17">
            <v>458392.30000000005</v>
          </cell>
          <cell r="J17">
            <v>530310.451</v>
          </cell>
          <cell r="K17">
            <v>0</v>
          </cell>
          <cell r="L17">
            <v>484908.14000000013</v>
          </cell>
          <cell r="M17">
            <v>0</v>
          </cell>
          <cell r="N17">
            <v>504263.63720000017</v>
          </cell>
          <cell r="O17">
            <v>0</v>
          </cell>
          <cell r="P17">
            <v>529929.02648720006</v>
          </cell>
          <cell r="R17">
            <v>444908.14</v>
          </cell>
          <cell r="T17">
            <v>462663.63720000017</v>
          </cell>
          <cell r="V17">
            <v>486207.42648720008</v>
          </cell>
          <cell r="X17">
            <v>0</v>
          </cell>
        </row>
        <row r="18">
          <cell r="G18">
            <v>0</v>
          </cell>
          <cell r="J18">
            <v>185693.17</v>
          </cell>
          <cell r="K18">
            <v>0</v>
          </cell>
          <cell r="M18">
            <v>0</v>
          </cell>
          <cell r="O18">
            <v>0</v>
          </cell>
          <cell r="R18">
            <v>188685.19018681921</v>
          </cell>
          <cell r="T18">
            <v>199628.93121765472</v>
          </cell>
          <cell r="V18">
            <v>210492.68774728663</v>
          </cell>
          <cell r="X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R19">
            <v>0</v>
          </cell>
          <cell r="T19">
            <v>0</v>
          </cell>
          <cell r="V19">
            <v>0</v>
          </cell>
          <cell r="X19">
            <v>0</v>
          </cell>
        </row>
        <row r="20">
          <cell r="G20">
            <v>0</v>
          </cell>
          <cell r="J20">
            <v>272517</v>
          </cell>
          <cell r="K20">
            <v>270110</v>
          </cell>
          <cell r="L20">
            <v>270110</v>
          </cell>
          <cell r="M20">
            <v>270110</v>
          </cell>
          <cell r="N20">
            <v>270110</v>
          </cell>
          <cell r="O20">
            <v>270110</v>
          </cell>
          <cell r="P20">
            <v>270110</v>
          </cell>
          <cell r="T20">
            <v>270110</v>
          </cell>
          <cell r="V20">
            <v>270110</v>
          </cell>
          <cell r="X20">
            <v>0</v>
          </cell>
        </row>
        <row r="21">
          <cell r="G21">
            <v>0</v>
          </cell>
          <cell r="J21">
            <v>118.9</v>
          </cell>
          <cell r="K21">
            <v>0</v>
          </cell>
          <cell r="L21">
            <v>126.6</v>
          </cell>
          <cell r="M21">
            <v>0</v>
          </cell>
          <cell r="N21">
            <v>131.66399999999999</v>
          </cell>
          <cell r="O21">
            <v>0</v>
          </cell>
          <cell r="P21">
            <v>138.37886399999996</v>
          </cell>
          <cell r="T21">
            <v>131.66399999999999</v>
          </cell>
          <cell r="V21">
            <v>138.37886399999996</v>
          </cell>
          <cell r="X21">
            <v>0</v>
          </cell>
        </row>
        <row r="22">
          <cell r="G22">
            <v>0</v>
          </cell>
          <cell r="J22">
            <v>1071480.1510000001</v>
          </cell>
          <cell r="K22">
            <v>270110</v>
          </cell>
        </row>
        <row r="23">
          <cell r="G23">
            <v>0</v>
          </cell>
          <cell r="J23">
            <v>60422.799999999988</v>
          </cell>
          <cell r="K23">
            <v>0</v>
          </cell>
          <cell r="L23">
            <v>41920.699999999997</v>
          </cell>
          <cell r="M23">
            <v>0</v>
          </cell>
          <cell r="N23">
            <v>43597.528000000006</v>
          </cell>
          <cell r="O23">
            <v>0</v>
          </cell>
          <cell r="P23">
            <v>45821.001928000005</v>
          </cell>
          <cell r="R23">
            <v>19920.7</v>
          </cell>
          <cell r="T23">
            <v>20858.835200000001</v>
          </cell>
          <cell r="V23">
            <v>21955.858688000004</v>
          </cell>
          <cell r="X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R24">
            <v>0</v>
          </cell>
          <cell r="T24">
            <v>0</v>
          </cell>
          <cell r="V24">
            <v>0</v>
          </cell>
          <cell r="X24">
            <v>0</v>
          </cell>
        </row>
      </sheetData>
      <sheetData sheetId="47"/>
      <sheetData sheetId="48"/>
      <sheetData sheetId="49"/>
      <sheetData sheetId="50"/>
      <sheetData sheetId="51">
        <row r="39">
          <cell r="D39" t="str">
            <v>Расходы на топливо на 2017 год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</row>
        <row r="40">
          <cell r="D40">
            <v>0</v>
          </cell>
          <cell r="E40">
            <v>0</v>
          </cell>
          <cell r="F40" t="str">
            <v>Затраты на топливо с 01.01.2017 по 30.06.2017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</row>
        <row r="42">
          <cell r="D42">
            <v>0</v>
          </cell>
          <cell r="E42">
            <v>0</v>
          </cell>
          <cell r="F42" t="str">
            <v>№ п/п</v>
          </cell>
          <cell r="G42" t="str">
            <v>Вид используемого топлива</v>
          </cell>
          <cell r="H42" t="str">
            <v>Отпуск тепловой энергии, тыс.Гкал</v>
          </cell>
          <cell r="I42">
            <v>0</v>
          </cell>
          <cell r="J42" t="str">
            <v>НУР, кг.у.т./Гкал</v>
          </cell>
          <cell r="K42" t="str">
            <v>Расход условного топлива, т.у.т</v>
          </cell>
          <cell r="L42" t="str">
            <v>Принимаемая в расчет калорийность топлива</v>
          </cell>
          <cell r="M42" t="str">
            <v>Переводной коэффициент в натуральное топливо</v>
          </cell>
          <cell r="N42" t="str">
            <v>Расход натурального топлива, тнт (м3)</v>
          </cell>
          <cell r="O42" t="str">
            <v>Затраты на топливо, тыс.руб. (c НДС)</v>
          </cell>
          <cell r="P42" t="str">
            <v>ИТОГО затраты на топливо, тыс.руб. (c НДС)</v>
          </cell>
          <cell r="Q42">
            <v>0</v>
          </cell>
          <cell r="R42">
            <v>0</v>
          </cell>
          <cell r="S42">
            <v>0</v>
          </cell>
        </row>
        <row r="43">
          <cell r="D43">
            <v>0</v>
          </cell>
          <cell r="E43">
            <v>0</v>
          </cell>
          <cell r="F43" t="str">
            <v>1</v>
          </cell>
          <cell r="G43" t="str">
            <v>2</v>
          </cell>
          <cell r="H43" t="str">
            <v>3</v>
          </cell>
          <cell r="I43">
            <v>0</v>
          </cell>
          <cell r="J43" t="str">
            <v>4</v>
          </cell>
          <cell r="K43" t="str">
            <v>5</v>
          </cell>
          <cell r="L43" t="str">
            <v>6</v>
          </cell>
          <cell r="M43" t="str">
            <v>7</v>
          </cell>
          <cell r="N43" t="str">
            <v>8</v>
          </cell>
          <cell r="O43" t="str">
            <v>9</v>
          </cell>
          <cell r="P43" t="str">
            <v>10</v>
          </cell>
          <cell r="Q43">
            <v>0</v>
          </cell>
          <cell r="R43">
            <v>0</v>
          </cell>
          <cell r="S43">
            <v>0</v>
          </cell>
        </row>
        <row r="44">
          <cell r="A44">
            <v>2</v>
          </cell>
          <cell r="D44">
            <v>0</v>
          </cell>
          <cell r="E44">
            <v>0</v>
          </cell>
          <cell r="F44">
            <v>1</v>
          </cell>
          <cell r="G44" t="str">
            <v/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 t="str">
            <v>О</v>
          </cell>
          <cell r="F45" t="str">
            <v>2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 t="str">
            <v>О</v>
          </cell>
          <cell r="F46" t="str">
            <v>3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 t="str">
            <v>О</v>
          </cell>
          <cell r="F47" t="str">
            <v>4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E48" t="str">
            <v>О</v>
          </cell>
          <cell r="F48" t="str">
            <v>5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 t="str">
            <v>О</v>
          </cell>
          <cell r="F49" t="str">
            <v>6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 t="str">
            <v>Добавить вид топлива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</row>
        <row r="54">
          <cell r="D54">
            <v>0</v>
          </cell>
          <cell r="E54">
            <v>0</v>
          </cell>
          <cell r="F54" t="str">
            <v>Затраты на топливо с 01.07.2017 по 31.12.2017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</row>
        <row r="56">
          <cell r="D56">
            <v>0</v>
          </cell>
          <cell r="E56">
            <v>0</v>
          </cell>
          <cell r="F56" t="str">
            <v>№ п/п</v>
          </cell>
          <cell r="G56" t="str">
            <v>Вид используемого топлива</v>
          </cell>
          <cell r="H56" t="str">
            <v>Отпуск тепловой энергии, тыс.Гкал</v>
          </cell>
          <cell r="I56">
            <v>0</v>
          </cell>
          <cell r="J56" t="str">
            <v>НУР, кг.у.т./Гкал</v>
          </cell>
          <cell r="K56" t="str">
            <v>Расход условного топлива, т.у.т</v>
          </cell>
          <cell r="L56" t="str">
            <v>Принимаемая в расчет калорийность топлива</v>
          </cell>
          <cell r="M56" t="str">
            <v>Переводной коэффициент в натуральное топливо</v>
          </cell>
          <cell r="N56" t="str">
            <v>Расход натурального топлива, тнт (м3)</v>
          </cell>
          <cell r="O56" t="str">
            <v>Затраты на топливо, тыс.руб. (c НДС)</v>
          </cell>
          <cell r="P56" t="str">
            <v>ИТОГО затраты на топливо, тыс.руб. (c НДС)</v>
          </cell>
          <cell r="Q56">
            <v>0</v>
          </cell>
          <cell r="R56">
            <v>0</v>
          </cell>
          <cell r="S56">
            <v>0</v>
          </cell>
        </row>
        <row r="57">
          <cell r="D57">
            <v>0</v>
          </cell>
          <cell r="E57">
            <v>0</v>
          </cell>
          <cell r="F57" t="str">
            <v>1</v>
          </cell>
          <cell r="G57" t="str">
            <v>2</v>
          </cell>
          <cell r="H57" t="str">
            <v>3</v>
          </cell>
          <cell r="I57">
            <v>0</v>
          </cell>
          <cell r="J57" t="str">
            <v>4</v>
          </cell>
          <cell r="K57" t="str">
            <v>5</v>
          </cell>
          <cell r="L57" t="str">
            <v>6</v>
          </cell>
          <cell r="M57" t="str">
            <v>7</v>
          </cell>
          <cell r="N57" t="str">
            <v>8</v>
          </cell>
          <cell r="O57" t="str">
            <v>9</v>
          </cell>
          <cell r="P57" t="str">
            <v>10</v>
          </cell>
          <cell r="Q57">
            <v>0</v>
          </cell>
          <cell r="R57">
            <v>0</v>
          </cell>
          <cell r="S57">
            <v>0</v>
          </cell>
        </row>
        <row r="58">
          <cell r="A58">
            <v>2</v>
          </cell>
          <cell r="D58">
            <v>0</v>
          </cell>
          <cell r="E58">
            <v>0</v>
          </cell>
          <cell r="F58">
            <v>1</v>
          </cell>
          <cell r="G58" t="str">
            <v/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</row>
        <row r="59">
          <cell r="B59">
            <v>0</v>
          </cell>
          <cell r="C59">
            <v>0</v>
          </cell>
          <cell r="D59">
            <v>0</v>
          </cell>
          <cell r="E59" t="str">
            <v>О</v>
          </cell>
          <cell r="F59" t="str">
            <v>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E60" t="str">
            <v>О</v>
          </cell>
          <cell r="F60" t="str">
            <v>3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</row>
        <row r="61">
          <cell r="B61">
            <v>0</v>
          </cell>
          <cell r="C61">
            <v>0</v>
          </cell>
          <cell r="D61">
            <v>0</v>
          </cell>
          <cell r="E61" t="str">
            <v>О</v>
          </cell>
          <cell r="F61" t="str">
            <v>4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E62" t="str">
            <v>О</v>
          </cell>
          <cell r="F62" t="str">
            <v>5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E63" t="str">
            <v>О</v>
          </cell>
          <cell r="F63" t="str">
            <v>6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 t="str">
            <v>Добавить вид топлива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</row>
        <row r="67">
          <cell r="D67" t="str">
            <v>Расходы на топливо на 2018 год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</row>
        <row r="68">
          <cell r="D68">
            <v>0</v>
          </cell>
          <cell r="E68">
            <v>0</v>
          </cell>
          <cell r="F68" t="str">
            <v>Затраты на топливо с 01.01.2018 по 30.06.2018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</row>
        <row r="70">
          <cell r="D70">
            <v>0</v>
          </cell>
          <cell r="E70">
            <v>0</v>
          </cell>
          <cell r="F70" t="str">
            <v>№ п/п</v>
          </cell>
          <cell r="G70" t="str">
            <v>Вид используемого топлива</v>
          </cell>
          <cell r="H70" t="str">
            <v>Отпуск тепловой энергии, тыс.Гкал</v>
          </cell>
          <cell r="I70">
            <v>0</v>
          </cell>
          <cell r="J70" t="str">
            <v>НУР, кг.у.т./Гкал</v>
          </cell>
          <cell r="K70" t="str">
            <v>Расход условного топлива, т.у.т</v>
          </cell>
          <cell r="L70" t="str">
            <v>Принимаемая в расчет калорийность топлива</v>
          </cell>
          <cell r="M70" t="str">
            <v>Переводной коэффициент в натуральное топливо</v>
          </cell>
          <cell r="N70" t="str">
            <v>Расход натурального топлива, тнт (м3)</v>
          </cell>
          <cell r="O70" t="str">
            <v>Затраты на топливо, тыс.руб. (c НДС)</v>
          </cell>
          <cell r="P70" t="str">
            <v>ИТОГО затраты на топливо, тыс.руб. (c НДС)</v>
          </cell>
          <cell r="Q70">
            <v>0</v>
          </cell>
          <cell r="R70">
            <v>0</v>
          </cell>
          <cell r="S70">
            <v>0</v>
          </cell>
        </row>
        <row r="71">
          <cell r="D71">
            <v>0</v>
          </cell>
          <cell r="E71">
            <v>0</v>
          </cell>
          <cell r="F71" t="str">
            <v>1</v>
          </cell>
          <cell r="G71" t="str">
            <v>2</v>
          </cell>
          <cell r="H71" t="str">
            <v>3</v>
          </cell>
          <cell r="I71">
            <v>0</v>
          </cell>
          <cell r="J71" t="str">
            <v>4</v>
          </cell>
          <cell r="K71" t="str">
            <v>5</v>
          </cell>
          <cell r="L71" t="str">
            <v>6</v>
          </cell>
          <cell r="M71" t="str">
            <v>7</v>
          </cell>
          <cell r="N71" t="str">
            <v>8</v>
          </cell>
          <cell r="O71" t="str">
            <v>9</v>
          </cell>
          <cell r="P71" t="str">
            <v>10</v>
          </cell>
          <cell r="Q71">
            <v>0</v>
          </cell>
          <cell r="R71">
            <v>0</v>
          </cell>
          <cell r="S71">
            <v>0</v>
          </cell>
        </row>
        <row r="72">
          <cell r="A72">
            <v>2</v>
          </cell>
          <cell r="D72">
            <v>0</v>
          </cell>
          <cell r="E72">
            <v>0</v>
          </cell>
          <cell r="F72">
            <v>1</v>
          </cell>
          <cell r="G72" t="str">
            <v/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</row>
        <row r="73">
          <cell r="B73">
            <v>0</v>
          </cell>
          <cell r="C73">
            <v>0</v>
          </cell>
          <cell r="D73">
            <v>0</v>
          </cell>
          <cell r="E73" t="str">
            <v>О</v>
          </cell>
          <cell r="F73" t="str">
            <v>2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</row>
        <row r="74">
          <cell r="B74">
            <v>0</v>
          </cell>
          <cell r="C74">
            <v>0</v>
          </cell>
          <cell r="D74">
            <v>0</v>
          </cell>
          <cell r="E74" t="str">
            <v>О</v>
          </cell>
          <cell r="F74" t="str">
            <v>3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</row>
        <row r="75">
          <cell r="B75">
            <v>0</v>
          </cell>
          <cell r="C75">
            <v>0</v>
          </cell>
          <cell r="D75">
            <v>0</v>
          </cell>
          <cell r="E75" t="str">
            <v>О</v>
          </cell>
          <cell r="F75" t="str">
            <v>4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E76" t="str">
            <v>О</v>
          </cell>
          <cell r="F76" t="str">
            <v>5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E77" t="str">
            <v>О</v>
          </cell>
          <cell r="F77" t="str">
            <v>6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 t="str">
            <v>Добавить вид топлива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</row>
        <row r="82">
          <cell r="D82">
            <v>0</v>
          </cell>
          <cell r="E82">
            <v>0</v>
          </cell>
          <cell r="F82" t="str">
            <v>Затраты на топливо с 01.07.2018 по 31.12.2018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</row>
        <row r="84">
          <cell r="D84">
            <v>0</v>
          </cell>
          <cell r="E84">
            <v>0</v>
          </cell>
          <cell r="F84" t="str">
            <v>№ п/п</v>
          </cell>
          <cell r="G84" t="str">
            <v>Вид используемого топлива</v>
          </cell>
          <cell r="H84" t="str">
            <v>Отпуск тепловой энергии, тыс.Гкал</v>
          </cell>
          <cell r="I84">
            <v>0</v>
          </cell>
          <cell r="J84" t="str">
            <v>НУР, кг.у.т./Гкал</v>
          </cell>
          <cell r="K84" t="str">
            <v>Расход условного топлива, т.у.т</v>
          </cell>
          <cell r="L84" t="str">
            <v>Принимаемая в расчет калорийность топлива</v>
          </cell>
          <cell r="M84" t="str">
            <v>Переводной коэффициент в натуральное топливо</v>
          </cell>
          <cell r="N84" t="str">
            <v>Расход натурального топлива, тнт (м3)</v>
          </cell>
          <cell r="O84" t="str">
            <v>Затраты на топливо, тыс.руб. (c НДС)</v>
          </cell>
          <cell r="P84" t="str">
            <v>ИТОГО затраты на топливо, тыс.руб. (c НДС)</v>
          </cell>
          <cell r="Q84">
            <v>0</v>
          </cell>
          <cell r="R84">
            <v>0</v>
          </cell>
          <cell r="S84">
            <v>0</v>
          </cell>
        </row>
        <row r="85">
          <cell r="D85">
            <v>0</v>
          </cell>
          <cell r="E85">
            <v>0</v>
          </cell>
          <cell r="F85" t="str">
            <v>1</v>
          </cell>
          <cell r="G85" t="str">
            <v>2</v>
          </cell>
          <cell r="H85" t="str">
            <v>3</v>
          </cell>
          <cell r="I85">
            <v>0</v>
          </cell>
          <cell r="J85" t="str">
            <v>4</v>
          </cell>
          <cell r="K85" t="str">
            <v>5</v>
          </cell>
          <cell r="L85" t="str">
            <v>6</v>
          </cell>
          <cell r="M85" t="str">
            <v>7</v>
          </cell>
          <cell r="N85" t="str">
            <v>8</v>
          </cell>
          <cell r="O85" t="str">
            <v>9</v>
          </cell>
          <cell r="P85" t="str">
            <v>10</v>
          </cell>
          <cell r="Q85">
            <v>0</v>
          </cell>
          <cell r="R85">
            <v>0</v>
          </cell>
          <cell r="S85">
            <v>0</v>
          </cell>
        </row>
        <row r="86">
          <cell r="A86">
            <v>2</v>
          </cell>
          <cell r="D86">
            <v>0</v>
          </cell>
          <cell r="E86">
            <v>0</v>
          </cell>
          <cell r="F86">
            <v>1</v>
          </cell>
          <cell r="G86" t="str">
            <v/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</row>
        <row r="87">
          <cell r="B87">
            <v>0</v>
          </cell>
          <cell r="C87">
            <v>0</v>
          </cell>
          <cell r="D87">
            <v>0</v>
          </cell>
          <cell r="E87" t="str">
            <v>О</v>
          </cell>
          <cell r="F87" t="str">
            <v>2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</row>
        <row r="88">
          <cell r="B88">
            <v>0</v>
          </cell>
          <cell r="C88">
            <v>0</v>
          </cell>
          <cell r="D88">
            <v>0</v>
          </cell>
          <cell r="E88" t="str">
            <v>О</v>
          </cell>
          <cell r="F88" t="str">
            <v>3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</row>
        <row r="89">
          <cell r="B89">
            <v>0</v>
          </cell>
          <cell r="C89">
            <v>0</v>
          </cell>
          <cell r="D89">
            <v>0</v>
          </cell>
          <cell r="E89" t="str">
            <v>О</v>
          </cell>
          <cell r="F89" t="str">
            <v>4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</row>
        <row r="90">
          <cell r="B90">
            <v>0</v>
          </cell>
          <cell r="C90">
            <v>0</v>
          </cell>
          <cell r="D90">
            <v>0</v>
          </cell>
          <cell r="E90" t="str">
            <v>О</v>
          </cell>
          <cell r="F90" t="str">
            <v>5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</row>
        <row r="91">
          <cell r="B91">
            <v>0</v>
          </cell>
          <cell r="C91">
            <v>0</v>
          </cell>
          <cell r="D91">
            <v>0</v>
          </cell>
          <cell r="E91" t="str">
            <v>О</v>
          </cell>
          <cell r="F91" t="str">
            <v>6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 t="str">
            <v>Добавить вид топлива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</row>
        <row r="94"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</row>
        <row r="95">
          <cell r="D95" t="str">
            <v>Расходы на топливо на 2019 год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</row>
        <row r="96">
          <cell r="D96">
            <v>0</v>
          </cell>
          <cell r="E96">
            <v>0</v>
          </cell>
          <cell r="F96" t="str">
            <v>Затраты на топливо с 01.01.2019 по 30.06.2019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</row>
        <row r="98">
          <cell r="D98">
            <v>0</v>
          </cell>
          <cell r="E98">
            <v>0</v>
          </cell>
          <cell r="F98" t="str">
            <v>№ п/п</v>
          </cell>
          <cell r="G98" t="str">
            <v>Вид используемого топлива</v>
          </cell>
          <cell r="H98" t="str">
            <v>Отпуск тепловой энергии, тыс.Гкал</v>
          </cell>
          <cell r="I98">
            <v>0</v>
          </cell>
          <cell r="J98" t="str">
            <v>НУР, кг.у.т./Гкал</v>
          </cell>
          <cell r="K98" t="str">
            <v>Расход условного топлива, т.у.т</v>
          </cell>
          <cell r="L98" t="str">
            <v>Принимаемая в расчет калорийность топлива</v>
          </cell>
          <cell r="M98" t="str">
            <v>Переводной коэффициент в натуральное топливо</v>
          </cell>
          <cell r="N98" t="str">
            <v>Расход натурального топлива, тнт (м3)</v>
          </cell>
          <cell r="O98" t="str">
            <v>Затраты на топливо, тыс.руб. (c НДС)</v>
          </cell>
          <cell r="P98" t="str">
            <v>ИТОГО затраты на топливо, тыс.руб. (c НДС)</v>
          </cell>
          <cell r="Q98">
            <v>0</v>
          </cell>
          <cell r="R98">
            <v>0</v>
          </cell>
          <cell r="S98">
            <v>0</v>
          </cell>
        </row>
        <row r="99">
          <cell r="D99">
            <v>0</v>
          </cell>
          <cell r="E99">
            <v>0</v>
          </cell>
          <cell r="F99" t="str">
            <v>1</v>
          </cell>
          <cell r="G99" t="str">
            <v>2</v>
          </cell>
          <cell r="H99" t="str">
            <v>3</v>
          </cell>
          <cell r="I99">
            <v>0</v>
          </cell>
          <cell r="J99" t="str">
            <v>4</v>
          </cell>
          <cell r="K99" t="str">
            <v>5</v>
          </cell>
          <cell r="L99" t="str">
            <v>6</v>
          </cell>
          <cell r="M99" t="str">
            <v>7</v>
          </cell>
          <cell r="N99" t="str">
            <v>8</v>
          </cell>
          <cell r="O99" t="str">
            <v>9</v>
          </cell>
          <cell r="P99" t="str">
            <v>10</v>
          </cell>
          <cell r="Q99">
            <v>0</v>
          </cell>
          <cell r="R99">
            <v>0</v>
          </cell>
          <cell r="S99">
            <v>0</v>
          </cell>
        </row>
        <row r="100">
          <cell r="A100">
            <v>2</v>
          </cell>
          <cell r="D100">
            <v>0</v>
          </cell>
          <cell r="E100">
            <v>0</v>
          </cell>
          <cell r="F100">
            <v>1</v>
          </cell>
          <cell r="G100" t="str">
            <v/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</row>
        <row r="101">
          <cell r="D101">
            <v>0</v>
          </cell>
          <cell r="E101">
            <v>0</v>
          </cell>
          <cell r="F101">
            <v>0</v>
          </cell>
          <cell r="G101" t="str">
            <v>Добавить вид топлива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</row>
        <row r="102"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</row>
        <row r="103"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</row>
        <row r="105">
          <cell r="D105">
            <v>0</v>
          </cell>
          <cell r="E105">
            <v>0</v>
          </cell>
          <cell r="F105" t="str">
            <v>Затраты на топливо с 01.01.2019 по 30.06.2019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</row>
        <row r="106"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</row>
        <row r="107">
          <cell r="D107">
            <v>0</v>
          </cell>
          <cell r="E107">
            <v>0</v>
          </cell>
          <cell r="F107" t="str">
            <v>№ п/п</v>
          </cell>
          <cell r="G107" t="str">
            <v>Вид используемого топлива</v>
          </cell>
          <cell r="H107" t="str">
            <v>Отпуск тепловой энергии, тыс.Гкал</v>
          </cell>
          <cell r="I107">
            <v>0</v>
          </cell>
          <cell r="J107" t="str">
            <v>НУР, кг.у.т./Гкал</v>
          </cell>
          <cell r="K107" t="str">
            <v>Расход условного топлива, т.у.т</v>
          </cell>
          <cell r="L107" t="str">
            <v>Принимаемая в расчет калорийность топлива</v>
          </cell>
          <cell r="M107" t="str">
            <v>Переводной коэффициент в натуральное топливо</v>
          </cell>
          <cell r="N107" t="str">
            <v>Расход натурального топлива, тнт (м3)</v>
          </cell>
          <cell r="O107" t="str">
            <v>Затраты на топливо, тыс.руб. (c НДС)</v>
          </cell>
          <cell r="P107" t="str">
            <v>ИТОГО затраты на топливо, тыс.руб. (c НДС)</v>
          </cell>
          <cell r="Q107">
            <v>0</v>
          </cell>
          <cell r="R107">
            <v>0</v>
          </cell>
          <cell r="S107">
            <v>0</v>
          </cell>
        </row>
        <row r="108">
          <cell r="D108">
            <v>0</v>
          </cell>
          <cell r="E108">
            <v>0</v>
          </cell>
          <cell r="F108" t="str">
            <v>1</v>
          </cell>
          <cell r="G108" t="str">
            <v>2</v>
          </cell>
          <cell r="H108" t="str">
            <v>3</v>
          </cell>
          <cell r="I108">
            <v>0</v>
          </cell>
          <cell r="J108" t="str">
            <v>4</v>
          </cell>
          <cell r="K108" t="str">
            <v>5</v>
          </cell>
          <cell r="L108" t="str">
            <v>6</v>
          </cell>
          <cell r="M108" t="str">
            <v>7</v>
          </cell>
          <cell r="N108" t="str">
            <v>8</v>
          </cell>
          <cell r="O108" t="str">
            <v>9</v>
          </cell>
          <cell r="P108" t="str">
            <v>10</v>
          </cell>
          <cell r="Q108">
            <v>0</v>
          </cell>
          <cell r="R108">
            <v>0</v>
          </cell>
          <cell r="S108">
            <v>0</v>
          </cell>
        </row>
        <row r="109">
          <cell r="A109">
            <v>2</v>
          </cell>
          <cell r="D109">
            <v>0</v>
          </cell>
          <cell r="E109">
            <v>0</v>
          </cell>
          <cell r="F109">
            <v>1</v>
          </cell>
          <cell r="G109" t="str">
            <v/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 t="str">
            <v>Добавить вид топлива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</row>
        <row r="113">
          <cell r="D113" t="str">
            <v>Расходы на топливо на 2020 год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</row>
        <row r="114">
          <cell r="D114">
            <v>0</v>
          </cell>
          <cell r="E114">
            <v>0</v>
          </cell>
          <cell r="F114" t="str">
            <v>Затраты на топливо с 01.01.2020 по 30.06.2020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</row>
        <row r="116">
          <cell r="D116">
            <v>0</v>
          </cell>
          <cell r="E116">
            <v>0</v>
          </cell>
          <cell r="F116" t="str">
            <v>№ п/п</v>
          </cell>
          <cell r="G116" t="str">
            <v>Вид используемого топлива</v>
          </cell>
          <cell r="H116" t="str">
            <v>Отпуск тепловой энергии, тыс.Гкал</v>
          </cell>
          <cell r="I116">
            <v>0</v>
          </cell>
          <cell r="J116" t="str">
            <v>НУР, кг.у.т./Гкал</v>
          </cell>
          <cell r="K116" t="str">
            <v>Расход условного топлива, т.у.т</v>
          </cell>
          <cell r="L116" t="str">
            <v>Принимаемая в расчет калорийность топлива</v>
          </cell>
          <cell r="M116" t="str">
            <v>Переводной коэффициент в натуральное топливо</v>
          </cell>
          <cell r="N116" t="str">
            <v>Расход натурального топлива, тнт (м3)</v>
          </cell>
          <cell r="O116" t="str">
            <v>Затраты на топливо, тыс.руб. (c НДС)</v>
          </cell>
          <cell r="P116" t="str">
            <v>ИТОГО затраты на топливо, тыс.руб. (c НДС)</v>
          </cell>
          <cell r="Q116">
            <v>0</v>
          </cell>
          <cell r="R116">
            <v>0</v>
          </cell>
          <cell r="S116">
            <v>0</v>
          </cell>
        </row>
        <row r="117">
          <cell r="D117">
            <v>0</v>
          </cell>
          <cell r="E117">
            <v>0</v>
          </cell>
          <cell r="F117" t="str">
            <v>1</v>
          </cell>
          <cell r="G117" t="str">
            <v>2</v>
          </cell>
          <cell r="H117" t="str">
            <v>3</v>
          </cell>
          <cell r="I117">
            <v>0</v>
          </cell>
          <cell r="J117" t="str">
            <v>4</v>
          </cell>
          <cell r="K117" t="str">
            <v>5</v>
          </cell>
          <cell r="L117" t="str">
            <v>6</v>
          </cell>
          <cell r="M117" t="str">
            <v>7</v>
          </cell>
          <cell r="N117" t="str">
            <v>8</v>
          </cell>
          <cell r="O117" t="str">
            <v>9</v>
          </cell>
          <cell r="P117" t="str">
            <v>10</v>
          </cell>
          <cell r="Q117">
            <v>0</v>
          </cell>
          <cell r="R117">
            <v>0</v>
          </cell>
          <cell r="S117">
            <v>0</v>
          </cell>
        </row>
        <row r="118">
          <cell r="A118">
            <v>2</v>
          </cell>
          <cell r="D118">
            <v>0</v>
          </cell>
          <cell r="E118">
            <v>0</v>
          </cell>
          <cell r="F118">
            <v>1</v>
          </cell>
          <cell r="G118" t="str">
            <v/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 t="str">
            <v>Добавить вид топлива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</row>
        <row r="123">
          <cell r="D123">
            <v>0</v>
          </cell>
          <cell r="E123">
            <v>0</v>
          </cell>
          <cell r="F123" t="str">
            <v>Затраты на топливо с 01.07.2020 по 31.12.2020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</row>
        <row r="125">
          <cell r="D125">
            <v>0</v>
          </cell>
          <cell r="E125">
            <v>0</v>
          </cell>
          <cell r="F125" t="str">
            <v>№ п/п</v>
          </cell>
          <cell r="G125" t="str">
            <v>Вид используемого топлива</v>
          </cell>
          <cell r="H125" t="str">
            <v>Отпуск тепловой энергии, тыс.Гкал</v>
          </cell>
          <cell r="I125">
            <v>0</v>
          </cell>
          <cell r="J125" t="str">
            <v>НУР, кг.у.т./Гкал</v>
          </cell>
          <cell r="K125" t="str">
            <v>Расход условного топлива, т.у.т</v>
          </cell>
          <cell r="L125" t="str">
            <v>Принимаемая в расчет калорийность топлива</v>
          </cell>
          <cell r="M125" t="str">
            <v>Переводной коэффициент в натуральное топливо</v>
          </cell>
          <cell r="N125" t="str">
            <v>Расход натурального топлива, тнт (м3)</v>
          </cell>
          <cell r="O125" t="str">
            <v>Затраты на топливо, тыс.руб. (c НДС)</v>
          </cell>
          <cell r="P125" t="str">
            <v>ИТОГО затраты на топливо, тыс.руб. (c НДС)</v>
          </cell>
          <cell r="Q125">
            <v>0</v>
          </cell>
          <cell r="R125">
            <v>0</v>
          </cell>
          <cell r="S125">
            <v>0</v>
          </cell>
        </row>
        <row r="126">
          <cell r="D126">
            <v>0</v>
          </cell>
          <cell r="E126">
            <v>0</v>
          </cell>
          <cell r="F126" t="str">
            <v>1</v>
          </cell>
          <cell r="G126" t="str">
            <v>2</v>
          </cell>
          <cell r="H126" t="str">
            <v>3</v>
          </cell>
          <cell r="I126">
            <v>0</v>
          </cell>
          <cell r="J126" t="str">
            <v>4</v>
          </cell>
          <cell r="K126" t="str">
            <v>5</v>
          </cell>
          <cell r="L126" t="str">
            <v>6</v>
          </cell>
          <cell r="M126" t="str">
            <v>7</v>
          </cell>
          <cell r="N126" t="str">
            <v>8</v>
          </cell>
          <cell r="O126" t="str">
            <v>9</v>
          </cell>
          <cell r="P126" t="str">
            <v>10</v>
          </cell>
          <cell r="Q126">
            <v>0</v>
          </cell>
          <cell r="R126">
            <v>0</v>
          </cell>
          <cell r="S126">
            <v>0</v>
          </cell>
        </row>
        <row r="127">
          <cell r="A127">
            <v>2</v>
          </cell>
          <cell r="D127">
            <v>0</v>
          </cell>
          <cell r="E127">
            <v>0</v>
          </cell>
          <cell r="F127">
            <v>1</v>
          </cell>
          <cell r="G127" t="str">
            <v/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 t="str">
            <v>Добавить вид топлива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</row>
        <row r="174">
          <cell r="D174" t="str">
            <v>Расходы на газ 2017 год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</row>
        <row r="175">
          <cell r="D175">
            <v>0</v>
          </cell>
          <cell r="E175">
            <v>0</v>
          </cell>
          <cell r="F175" t="str">
            <v>с 01.01.2017 по 30.06.2017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</row>
        <row r="176"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</row>
        <row r="177">
          <cell r="D177">
            <v>0</v>
          </cell>
          <cell r="E177">
            <v>0</v>
          </cell>
          <cell r="F177" t="str">
            <v>№ п/п</v>
          </cell>
          <cell r="G177" t="str">
            <v>Группа по точкам поставки природного газа</v>
          </cell>
          <cell r="H177" t="str">
            <v>Расход природного газа в рамках минимального уровня оптовой цены на газ, тыс.куб.м.</v>
          </cell>
          <cell r="I177" t="str">
            <v>Оптовая цена, руб./тыс.куб.м. (c НДС)</v>
          </cell>
          <cell r="J177" t="str">
            <v>Сумма затрат на газ, тыс.руб. (c НДС)</v>
          </cell>
          <cell r="K177" t="str">
            <v>Расход природного газа в рамках максимального уровня оптовой цены на газ, тыс.куб.м.</v>
          </cell>
          <cell r="L177" t="str">
            <v>Оптовая цена, руб./тыс.куб.м. (c НДС)</v>
          </cell>
          <cell r="M177" t="str">
            <v>Сумма затрат на газ, тыс.руб. (c НДС)</v>
          </cell>
          <cell r="N177" t="str">
            <v>Тариф на транспортировку природного газа, руб./тыс.куб.м. (c НДС)</v>
          </cell>
          <cell r="O177" t="str">
            <v>Сумма затрат на транспортировку природного газа, тыс.руб. (c НДС)</v>
          </cell>
          <cell r="P177" t="str">
            <v>ПССУ, руб./тыс.куб.м. (c НДС)</v>
          </cell>
          <cell r="Q177" t="str">
            <v>Сумма затрат на снабженческо-сбытовые услуги, тыс.руб. (c НДС)</v>
          </cell>
          <cell r="R177" t="str">
            <v>Итого расходы на природный газ, тыс.руб. (c НДС)</v>
          </cell>
          <cell r="S177">
            <v>0</v>
          </cell>
        </row>
        <row r="178">
          <cell r="D178">
            <v>0</v>
          </cell>
          <cell r="E178">
            <v>0</v>
          </cell>
          <cell r="F178" t="str">
            <v>1</v>
          </cell>
          <cell r="G178" t="str">
            <v>2</v>
          </cell>
          <cell r="H178" t="str">
            <v>3</v>
          </cell>
          <cell r="I178" t="str">
            <v>4</v>
          </cell>
          <cell r="J178" t="str">
            <v>5</v>
          </cell>
          <cell r="K178" t="str">
            <v>6</v>
          </cell>
          <cell r="L178" t="str">
            <v>7</v>
          </cell>
          <cell r="M178" t="str">
            <v>8</v>
          </cell>
          <cell r="N178" t="str">
            <v>9</v>
          </cell>
          <cell r="O178" t="str">
            <v>10</v>
          </cell>
          <cell r="P178" t="str">
            <v>11</v>
          </cell>
          <cell r="Q178" t="str">
            <v>12</v>
          </cell>
          <cell r="R178" t="str">
            <v>13</v>
          </cell>
          <cell r="S178">
            <v>0</v>
          </cell>
        </row>
        <row r="179">
          <cell r="D179">
            <v>0</v>
          </cell>
          <cell r="E179">
            <v>0</v>
          </cell>
          <cell r="F179">
            <v>1</v>
          </cell>
          <cell r="G179" t="str">
            <v>1 группа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</row>
        <row r="180">
          <cell r="D180">
            <v>0</v>
          </cell>
          <cell r="E180">
            <v>0</v>
          </cell>
          <cell r="F180">
            <v>2</v>
          </cell>
          <cell r="G180" t="str">
            <v>2 группа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</row>
        <row r="181">
          <cell r="D181">
            <v>0</v>
          </cell>
          <cell r="E181">
            <v>0</v>
          </cell>
          <cell r="F181">
            <v>3</v>
          </cell>
          <cell r="G181" t="str">
            <v>3 группа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</row>
        <row r="182">
          <cell r="D182">
            <v>0</v>
          </cell>
          <cell r="E182">
            <v>0</v>
          </cell>
          <cell r="F182">
            <v>4</v>
          </cell>
          <cell r="G182" t="str">
            <v>4 группа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</row>
        <row r="183">
          <cell r="D183">
            <v>0</v>
          </cell>
          <cell r="E183">
            <v>0</v>
          </cell>
          <cell r="F183">
            <v>5</v>
          </cell>
          <cell r="G183" t="str">
            <v>5 группа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</row>
        <row r="184">
          <cell r="D184">
            <v>0</v>
          </cell>
          <cell r="E184">
            <v>0</v>
          </cell>
          <cell r="F184">
            <v>6</v>
          </cell>
          <cell r="G184" t="str">
            <v>6 группа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</row>
        <row r="185">
          <cell r="D185">
            <v>0</v>
          </cell>
          <cell r="E185">
            <v>0</v>
          </cell>
          <cell r="F185">
            <v>7</v>
          </cell>
          <cell r="G185" t="str">
            <v>7 группа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</row>
        <row r="186"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</row>
        <row r="187"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</row>
        <row r="188"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</row>
        <row r="189">
          <cell r="D189">
            <v>0</v>
          </cell>
          <cell r="E189">
            <v>0</v>
          </cell>
          <cell r="F189" t="str">
            <v>с 01.07.2017 по 31.12.2017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</row>
        <row r="191">
          <cell r="D191">
            <v>0</v>
          </cell>
          <cell r="E191">
            <v>0</v>
          </cell>
          <cell r="F191" t="str">
            <v>№ п/п</v>
          </cell>
          <cell r="G191" t="str">
            <v>Группа по точкам поставки природного газа</v>
          </cell>
          <cell r="H191" t="str">
            <v>Расход природного газа в рамках минимального уровня оптовой цены на газ, тыс.куб.м.</v>
          </cell>
          <cell r="I191" t="str">
            <v>Оптовая цена, руб./тыс.куб.м. (c НДС)</v>
          </cell>
          <cell r="J191" t="str">
            <v>Сумма затрат на газ, тыс.руб. (c НДС)</v>
          </cell>
          <cell r="K191" t="str">
            <v>Расход природного газа в рамках максимального уровня оптовой цены на газ, тыс.куб.м.</v>
          </cell>
          <cell r="L191" t="str">
            <v>Оптовая цена, руб./тыс.куб.м. (c НДС)</v>
          </cell>
          <cell r="M191" t="str">
            <v>Сумма затрат на газ, тыс.руб. (c НДС)</v>
          </cell>
          <cell r="N191" t="str">
            <v>Тариф на транспортировку природного газа, руб./тыс.куб.м. (c НДС)</v>
          </cell>
          <cell r="O191" t="str">
            <v>Сумма затрат на транспортировку природного газа, тыс.руб. (c НДС)</v>
          </cell>
          <cell r="P191" t="str">
            <v>ПССУ, руб./тыс.куб.м. (c НДС)</v>
          </cell>
          <cell r="Q191" t="str">
            <v>Сумма затрат на снабженческо-сбытовые услуги, тыс.руб. (c НДС)</v>
          </cell>
          <cell r="R191" t="str">
            <v>Итого расходы на природный газ, тыс.руб. (c НДС)</v>
          </cell>
          <cell r="S191">
            <v>0</v>
          </cell>
        </row>
        <row r="192">
          <cell r="D192">
            <v>0</v>
          </cell>
          <cell r="E192">
            <v>0</v>
          </cell>
          <cell r="F192" t="str">
            <v>1</v>
          </cell>
          <cell r="G192" t="str">
            <v>2</v>
          </cell>
          <cell r="H192" t="str">
            <v>3</v>
          </cell>
          <cell r="I192" t="str">
            <v>4</v>
          </cell>
          <cell r="J192" t="str">
            <v>5</v>
          </cell>
          <cell r="K192" t="str">
            <v>6</v>
          </cell>
          <cell r="L192" t="str">
            <v>7</v>
          </cell>
          <cell r="M192" t="str">
            <v>8</v>
          </cell>
          <cell r="N192" t="str">
            <v>9</v>
          </cell>
          <cell r="O192" t="str">
            <v>10</v>
          </cell>
          <cell r="P192" t="str">
            <v>11</v>
          </cell>
          <cell r="Q192" t="str">
            <v>12</v>
          </cell>
          <cell r="R192" t="str">
            <v>13</v>
          </cell>
          <cell r="S192">
            <v>0</v>
          </cell>
        </row>
        <row r="193">
          <cell r="D193">
            <v>0</v>
          </cell>
          <cell r="E193">
            <v>0</v>
          </cell>
          <cell r="F193">
            <v>1</v>
          </cell>
          <cell r="G193" t="str">
            <v>1 группа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</row>
        <row r="194">
          <cell r="D194">
            <v>0</v>
          </cell>
          <cell r="E194">
            <v>0</v>
          </cell>
          <cell r="F194">
            <v>2</v>
          </cell>
          <cell r="G194" t="str">
            <v>2 группа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</row>
        <row r="195">
          <cell r="D195">
            <v>0</v>
          </cell>
          <cell r="E195">
            <v>0</v>
          </cell>
          <cell r="F195">
            <v>3</v>
          </cell>
          <cell r="G195" t="str">
            <v>3 группа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</row>
        <row r="196">
          <cell r="D196">
            <v>0</v>
          </cell>
          <cell r="E196">
            <v>0</v>
          </cell>
          <cell r="F196">
            <v>4</v>
          </cell>
          <cell r="G196" t="str">
            <v>4 группа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</row>
        <row r="197">
          <cell r="D197">
            <v>0</v>
          </cell>
          <cell r="E197">
            <v>0</v>
          </cell>
          <cell r="F197">
            <v>5</v>
          </cell>
          <cell r="G197" t="str">
            <v>5 группа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</row>
        <row r="198">
          <cell r="D198">
            <v>0</v>
          </cell>
          <cell r="E198">
            <v>0</v>
          </cell>
          <cell r="F198">
            <v>6</v>
          </cell>
          <cell r="G198" t="str">
            <v>6 группа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</row>
        <row r="199">
          <cell r="D199">
            <v>0</v>
          </cell>
          <cell r="E199">
            <v>0</v>
          </cell>
          <cell r="F199">
            <v>7</v>
          </cell>
          <cell r="G199" t="str">
            <v>7 группа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</row>
        <row r="201"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</row>
        <row r="202">
          <cell r="D202" t="str">
            <v>Расходы на газ 2018 год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</row>
        <row r="203">
          <cell r="D203">
            <v>0</v>
          </cell>
          <cell r="E203">
            <v>0</v>
          </cell>
          <cell r="F203" t="str">
            <v>с 01.01.2018 по 30.06.2018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</row>
        <row r="204"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</row>
        <row r="205">
          <cell r="D205">
            <v>0</v>
          </cell>
          <cell r="E205">
            <v>0</v>
          </cell>
          <cell r="F205" t="str">
            <v>№ п/п</v>
          </cell>
          <cell r="G205" t="str">
            <v>Группа по точкам поставки природного газа</v>
          </cell>
          <cell r="H205" t="str">
            <v>Расход природного газа в рамках минимального уровня оптовой цены на газ, тыс.куб.м.</v>
          </cell>
          <cell r="I205" t="str">
            <v>Оптовая цена, руб./тыс.куб.м. (c НДС)</v>
          </cell>
          <cell r="J205" t="str">
            <v>Сумма затрат на газ, тыс.руб. (c НДС)</v>
          </cell>
          <cell r="K205" t="str">
            <v>Расход природного газа в рамках максимального уровня оптовой цены на газ, тыс.куб.м.</v>
          </cell>
          <cell r="L205" t="str">
            <v>Оптовая цена, руб./тыс.куб.м. (c НДС)</v>
          </cell>
          <cell r="M205" t="str">
            <v>Сумма затрат на газ, тыс.руб. (c НДС)</v>
          </cell>
          <cell r="N205" t="str">
            <v>Тариф на транспортировку природного газа, руб./тыс.куб.м. (c НДС)</v>
          </cell>
          <cell r="O205" t="str">
            <v>Сумма затрат на транспортировку природного газа, тыс.руб. (c НДС)</v>
          </cell>
          <cell r="P205" t="str">
            <v>ПССУ, руб./тыс.куб.м. (c НДС)</v>
          </cell>
          <cell r="Q205" t="str">
            <v>Сумма затрат на снабженческо-сбытовые услуги, тыс.руб. (c НДС)</v>
          </cell>
          <cell r="R205" t="str">
            <v>Итого расходы на природный газ, тыс.руб. (c НДС)</v>
          </cell>
          <cell r="S205">
            <v>0</v>
          </cell>
        </row>
        <row r="206">
          <cell r="D206">
            <v>0</v>
          </cell>
          <cell r="E206">
            <v>0</v>
          </cell>
          <cell r="F206" t="str">
            <v>1</v>
          </cell>
          <cell r="G206" t="str">
            <v>2</v>
          </cell>
          <cell r="H206" t="str">
            <v>3</v>
          </cell>
          <cell r="I206" t="str">
            <v>4</v>
          </cell>
          <cell r="J206" t="str">
            <v>5</v>
          </cell>
          <cell r="K206" t="str">
            <v>6</v>
          </cell>
          <cell r="L206" t="str">
            <v>7</v>
          </cell>
          <cell r="M206" t="str">
            <v>8</v>
          </cell>
          <cell r="N206" t="str">
            <v>9</v>
          </cell>
          <cell r="O206" t="str">
            <v>10</v>
          </cell>
          <cell r="P206" t="str">
            <v>11</v>
          </cell>
          <cell r="Q206" t="str">
            <v>12</v>
          </cell>
          <cell r="R206" t="str">
            <v>13</v>
          </cell>
          <cell r="S206">
            <v>0</v>
          </cell>
        </row>
        <row r="207">
          <cell r="D207">
            <v>0</v>
          </cell>
          <cell r="E207">
            <v>0</v>
          </cell>
          <cell r="F207">
            <v>1</v>
          </cell>
          <cell r="G207" t="str">
            <v>1 группа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</row>
        <row r="208">
          <cell r="D208">
            <v>0</v>
          </cell>
          <cell r="E208">
            <v>0</v>
          </cell>
          <cell r="F208">
            <v>2</v>
          </cell>
          <cell r="G208" t="str">
            <v>2 группа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</row>
        <row r="209">
          <cell r="D209">
            <v>0</v>
          </cell>
          <cell r="E209">
            <v>0</v>
          </cell>
          <cell r="F209">
            <v>3</v>
          </cell>
          <cell r="G209" t="str">
            <v>3 группа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</row>
        <row r="210">
          <cell r="D210">
            <v>0</v>
          </cell>
          <cell r="E210">
            <v>0</v>
          </cell>
          <cell r="F210">
            <v>4</v>
          </cell>
          <cell r="G210" t="str">
            <v>4 группа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</row>
        <row r="211">
          <cell r="D211">
            <v>0</v>
          </cell>
          <cell r="E211">
            <v>0</v>
          </cell>
          <cell r="F211">
            <v>5</v>
          </cell>
          <cell r="G211" t="str">
            <v>5 группа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</row>
        <row r="212">
          <cell r="D212">
            <v>0</v>
          </cell>
          <cell r="E212">
            <v>0</v>
          </cell>
          <cell r="F212">
            <v>6</v>
          </cell>
          <cell r="G212" t="str">
            <v>6 группа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</row>
        <row r="213">
          <cell r="D213">
            <v>0</v>
          </cell>
          <cell r="E213">
            <v>0</v>
          </cell>
          <cell r="F213">
            <v>7</v>
          </cell>
          <cell r="G213" t="str">
            <v>7 группа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</row>
        <row r="214"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</row>
        <row r="215"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</row>
        <row r="216"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</row>
        <row r="217">
          <cell r="D217">
            <v>0</v>
          </cell>
          <cell r="E217">
            <v>0</v>
          </cell>
          <cell r="F217" t="str">
            <v>с 01.07.2018 по 31.12.2018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</row>
        <row r="218"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</row>
        <row r="219">
          <cell r="D219">
            <v>0</v>
          </cell>
          <cell r="E219">
            <v>0</v>
          </cell>
          <cell r="F219" t="str">
            <v>№ п/п</v>
          </cell>
          <cell r="G219" t="str">
            <v>Группа по точкам поставки природного газа</v>
          </cell>
          <cell r="H219" t="str">
            <v>Расход природного газа в рамках минимального уровня оптовой цены на газ, тыс.куб.м.</v>
          </cell>
          <cell r="I219" t="str">
            <v>Оптовая цена, руб./тыс.куб.м. (c НДС)</v>
          </cell>
          <cell r="J219" t="str">
            <v>Сумма затрат на газ, тыс.руб. (c НДС)</v>
          </cell>
          <cell r="K219" t="str">
            <v>Расход природного газа в рамках максимального уровня оптовой цены на газ, тыс.куб.м.</v>
          </cell>
          <cell r="L219" t="str">
            <v>Оптовая цена, руб./тыс.куб.м. (c НДС)</v>
          </cell>
          <cell r="M219" t="str">
            <v>Сумма затрат на газ, тыс.руб. (c НДС)</v>
          </cell>
          <cell r="N219" t="str">
            <v>Тариф на транспортировку природного газа, руб./тыс.куб.м. (c НДС)</v>
          </cell>
          <cell r="O219" t="str">
            <v>Сумма затрат на транспортировку природного газа, тыс.руб. (c НДС)</v>
          </cell>
          <cell r="P219" t="str">
            <v>ПССУ, руб./тыс.куб.м. (c НДС)</v>
          </cell>
          <cell r="Q219" t="str">
            <v>Сумма затрат на снабженческо-сбытовые услуги, тыс.руб. (c НДС)</v>
          </cell>
          <cell r="R219" t="str">
            <v>Итого расходы на природный газ, тыс.руб. (c НДС)</v>
          </cell>
          <cell r="S219">
            <v>0</v>
          </cell>
        </row>
        <row r="220">
          <cell r="D220">
            <v>0</v>
          </cell>
          <cell r="E220">
            <v>0</v>
          </cell>
          <cell r="F220" t="str">
            <v>1</v>
          </cell>
          <cell r="G220" t="str">
            <v>2</v>
          </cell>
          <cell r="H220" t="str">
            <v>3</v>
          </cell>
          <cell r="I220" t="str">
            <v>4</v>
          </cell>
          <cell r="J220" t="str">
            <v>5</v>
          </cell>
          <cell r="K220" t="str">
            <v>6</v>
          </cell>
          <cell r="L220" t="str">
            <v>7</v>
          </cell>
          <cell r="M220" t="str">
            <v>8</v>
          </cell>
          <cell r="N220" t="str">
            <v>9</v>
          </cell>
          <cell r="O220" t="str">
            <v>10</v>
          </cell>
          <cell r="P220" t="str">
            <v>11</v>
          </cell>
          <cell r="Q220" t="str">
            <v>12</v>
          </cell>
          <cell r="R220" t="str">
            <v>13</v>
          </cell>
          <cell r="S220">
            <v>0</v>
          </cell>
        </row>
        <row r="221">
          <cell r="D221">
            <v>0</v>
          </cell>
          <cell r="E221">
            <v>0</v>
          </cell>
          <cell r="F221">
            <v>1</v>
          </cell>
          <cell r="G221" t="str">
            <v>1 группа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</row>
        <row r="222">
          <cell r="D222">
            <v>0</v>
          </cell>
          <cell r="E222">
            <v>0</v>
          </cell>
          <cell r="F222">
            <v>2</v>
          </cell>
          <cell r="G222" t="str">
            <v>2 группа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</row>
        <row r="223">
          <cell r="D223">
            <v>0</v>
          </cell>
          <cell r="E223">
            <v>0</v>
          </cell>
          <cell r="F223">
            <v>3</v>
          </cell>
          <cell r="G223" t="str">
            <v>3 группа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</row>
        <row r="224">
          <cell r="D224">
            <v>0</v>
          </cell>
          <cell r="E224">
            <v>0</v>
          </cell>
          <cell r="F224">
            <v>4</v>
          </cell>
          <cell r="G224" t="str">
            <v>4 группа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</row>
        <row r="225">
          <cell r="D225">
            <v>0</v>
          </cell>
          <cell r="E225">
            <v>0</v>
          </cell>
          <cell r="F225">
            <v>5</v>
          </cell>
          <cell r="G225" t="str">
            <v>5 группа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</row>
        <row r="226">
          <cell r="D226">
            <v>0</v>
          </cell>
          <cell r="E226">
            <v>0</v>
          </cell>
          <cell r="F226">
            <v>6</v>
          </cell>
          <cell r="G226" t="str">
            <v>6 группа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</row>
        <row r="227">
          <cell r="D227">
            <v>0</v>
          </cell>
          <cell r="E227">
            <v>0</v>
          </cell>
          <cell r="F227">
            <v>7</v>
          </cell>
          <cell r="G227" t="str">
            <v>7 группа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</row>
        <row r="228"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</row>
        <row r="229"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</row>
        <row r="230">
          <cell r="D230" t="str">
            <v>Расходы на газ 2019 год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</row>
        <row r="231">
          <cell r="D231">
            <v>0</v>
          </cell>
          <cell r="E231">
            <v>0</v>
          </cell>
          <cell r="F231" t="str">
            <v>с 01.01.2019 по 30.06.2019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</row>
        <row r="232"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</row>
        <row r="233">
          <cell r="D233">
            <v>0</v>
          </cell>
          <cell r="E233">
            <v>0</v>
          </cell>
          <cell r="F233" t="str">
            <v>№ п/п</v>
          </cell>
          <cell r="G233" t="str">
            <v>Группа по точкам поставки природного газа</v>
          </cell>
          <cell r="H233" t="str">
            <v>Расход природного газа в рамках минимального уровня оптовой цены на газ, тыс.куб.м.</v>
          </cell>
          <cell r="I233" t="str">
            <v>Оптовая цена, руб./тыс.куб.м. (c НДС)</v>
          </cell>
          <cell r="J233" t="str">
            <v>Сумма затрат на газ, тыс.руб. (c НДС)</v>
          </cell>
          <cell r="K233" t="str">
            <v>Расход природного газа в рамках максимального уровня оптовой цены на газ, тыс.куб.м.</v>
          </cell>
          <cell r="L233" t="str">
            <v>Оптовая цена, руб./тыс.куб.м. (c НДС)</v>
          </cell>
          <cell r="M233" t="str">
            <v>Сумма затрат на газ, тыс.руб. (c НДС)</v>
          </cell>
          <cell r="N233" t="str">
            <v>Тариф на транспортировку природного газа, руб./тыс.куб.м. (c НДС)</v>
          </cell>
          <cell r="O233" t="str">
            <v>Сумма затрат на транспортировку природного газа, тыс.руб. (c НДС)</v>
          </cell>
          <cell r="P233" t="str">
            <v>ПССУ, руб./тыс.куб.м. (c НДС)</v>
          </cell>
          <cell r="Q233" t="str">
            <v>Сумма затрат на снабженческо-сбытовые услуги, тыс.руб. (c НДС)</v>
          </cell>
          <cell r="R233" t="str">
            <v>Итого расходы на природный газ, тыс.руб. (c НДС)</v>
          </cell>
          <cell r="S233">
            <v>0</v>
          </cell>
        </row>
        <row r="234">
          <cell r="D234">
            <v>0</v>
          </cell>
          <cell r="E234">
            <v>0</v>
          </cell>
          <cell r="F234" t="str">
            <v>1</v>
          </cell>
          <cell r="G234" t="str">
            <v>2</v>
          </cell>
          <cell r="H234" t="str">
            <v>3</v>
          </cell>
          <cell r="I234" t="str">
            <v>4</v>
          </cell>
          <cell r="J234" t="str">
            <v>5</v>
          </cell>
          <cell r="K234" t="str">
            <v>6</v>
          </cell>
          <cell r="L234" t="str">
            <v>7</v>
          </cell>
          <cell r="M234" t="str">
            <v>8</v>
          </cell>
          <cell r="N234" t="str">
            <v>9</v>
          </cell>
          <cell r="O234" t="str">
            <v>10</v>
          </cell>
          <cell r="P234" t="str">
            <v>11</v>
          </cell>
          <cell r="Q234" t="str">
            <v>12</v>
          </cell>
          <cell r="R234" t="str">
            <v>13</v>
          </cell>
          <cell r="S234">
            <v>0</v>
          </cell>
        </row>
        <row r="235">
          <cell r="D235">
            <v>0</v>
          </cell>
          <cell r="E235">
            <v>0</v>
          </cell>
          <cell r="F235">
            <v>1</v>
          </cell>
          <cell r="G235" t="str">
            <v>1 группа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</row>
        <row r="236">
          <cell r="D236">
            <v>0</v>
          </cell>
          <cell r="E236">
            <v>0</v>
          </cell>
          <cell r="F236">
            <v>2</v>
          </cell>
          <cell r="G236" t="str">
            <v>2 группа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</row>
        <row r="237">
          <cell r="D237">
            <v>0</v>
          </cell>
          <cell r="E237">
            <v>0</v>
          </cell>
          <cell r="F237">
            <v>3</v>
          </cell>
          <cell r="G237" t="str">
            <v>3 группа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</row>
        <row r="238">
          <cell r="D238">
            <v>0</v>
          </cell>
          <cell r="E238">
            <v>0</v>
          </cell>
          <cell r="F238">
            <v>4</v>
          </cell>
          <cell r="G238" t="str">
            <v>4 группа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</row>
        <row r="239">
          <cell r="D239">
            <v>0</v>
          </cell>
          <cell r="E239">
            <v>0</v>
          </cell>
          <cell r="F239">
            <v>5</v>
          </cell>
          <cell r="G239" t="str">
            <v>5 группа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</row>
        <row r="240">
          <cell r="D240">
            <v>0</v>
          </cell>
          <cell r="E240">
            <v>0</v>
          </cell>
          <cell r="F240">
            <v>6</v>
          </cell>
          <cell r="G240" t="str">
            <v>6 группа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</row>
        <row r="241">
          <cell r="D241">
            <v>0</v>
          </cell>
          <cell r="E241">
            <v>0</v>
          </cell>
          <cell r="F241">
            <v>7</v>
          </cell>
          <cell r="G241" t="str">
            <v>7 группа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</row>
        <row r="242"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</row>
        <row r="243"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</row>
        <row r="244"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</row>
        <row r="245">
          <cell r="D245">
            <v>0</v>
          </cell>
          <cell r="E245">
            <v>0</v>
          </cell>
          <cell r="F245" t="str">
            <v>с 01.07.2019 по 31.12.2019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</row>
        <row r="246"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</row>
        <row r="247">
          <cell r="D247">
            <v>0</v>
          </cell>
          <cell r="E247">
            <v>0</v>
          </cell>
          <cell r="F247" t="str">
            <v>№ п/п</v>
          </cell>
          <cell r="G247" t="str">
            <v>Группа по точкам поставки природного газа</v>
          </cell>
          <cell r="H247" t="str">
            <v>Расход природного газа в рамках минимального уровня оптовой цены на газ, тыс.куб.м.</v>
          </cell>
          <cell r="I247" t="str">
            <v>Оптовая цена, руб./тыс.куб.м. (c НДС)</v>
          </cell>
          <cell r="J247" t="str">
            <v>Сумма затрат на газ, тыс.руб. (c НДС)</v>
          </cell>
          <cell r="K247" t="str">
            <v>Расход природного газа в рамках максимального уровня оптовой цены на газ, тыс.куб.м.</v>
          </cell>
          <cell r="L247" t="str">
            <v>Оптовая цена, руб./тыс.куб.м. (c НДС)</v>
          </cell>
          <cell r="M247" t="str">
            <v>Сумма затрат на газ, тыс.руб. (c НДС)</v>
          </cell>
          <cell r="N247" t="str">
            <v>Тариф на транспортировку природного газа, руб./тыс.куб.м. (c НДС)</v>
          </cell>
          <cell r="O247" t="str">
            <v>Сумма затрат на транспортировку природного газа, тыс.руб. (c НДС)</v>
          </cell>
          <cell r="P247" t="str">
            <v>ПССУ, руб./тыс.куб.м. (c НДС)</v>
          </cell>
          <cell r="Q247" t="str">
            <v>Сумма затрат на снабженческо-сбытовые услуги, тыс.руб. (c НДС)</v>
          </cell>
          <cell r="R247" t="str">
            <v>Итого расходы на природный газ, тыс.руб. (c НДС)</v>
          </cell>
          <cell r="S247">
            <v>0</v>
          </cell>
        </row>
        <row r="248">
          <cell r="D248">
            <v>0</v>
          </cell>
          <cell r="E248">
            <v>0</v>
          </cell>
          <cell r="F248" t="str">
            <v>1</v>
          </cell>
          <cell r="G248" t="str">
            <v>2</v>
          </cell>
          <cell r="H248" t="str">
            <v>3</v>
          </cell>
          <cell r="I248" t="str">
            <v>4</v>
          </cell>
          <cell r="J248" t="str">
            <v>5</v>
          </cell>
          <cell r="K248" t="str">
            <v>6</v>
          </cell>
          <cell r="L248" t="str">
            <v>7</v>
          </cell>
          <cell r="M248" t="str">
            <v>8</v>
          </cell>
          <cell r="N248" t="str">
            <v>9</v>
          </cell>
          <cell r="O248" t="str">
            <v>10</v>
          </cell>
          <cell r="P248" t="str">
            <v>11</v>
          </cell>
          <cell r="Q248" t="str">
            <v>12</v>
          </cell>
          <cell r="R248" t="str">
            <v>13</v>
          </cell>
          <cell r="S248">
            <v>0</v>
          </cell>
        </row>
        <row r="249">
          <cell r="D249">
            <v>0</v>
          </cell>
          <cell r="E249">
            <v>0</v>
          </cell>
          <cell r="F249">
            <v>1</v>
          </cell>
          <cell r="G249" t="str">
            <v>1 группа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</row>
        <row r="250">
          <cell r="D250">
            <v>0</v>
          </cell>
          <cell r="E250">
            <v>0</v>
          </cell>
          <cell r="F250">
            <v>2</v>
          </cell>
          <cell r="G250" t="str">
            <v>2 группа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</row>
        <row r="251">
          <cell r="D251">
            <v>0</v>
          </cell>
          <cell r="E251">
            <v>0</v>
          </cell>
          <cell r="F251">
            <v>3</v>
          </cell>
          <cell r="G251" t="str">
            <v>3 группа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</row>
        <row r="252">
          <cell r="D252">
            <v>0</v>
          </cell>
          <cell r="E252">
            <v>0</v>
          </cell>
          <cell r="F252">
            <v>4</v>
          </cell>
          <cell r="G252" t="str">
            <v>4 группа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</row>
        <row r="253">
          <cell r="D253">
            <v>0</v>
          </cell>
          <cell r="E253">
            <v>0</v>
          </cell>
          <cell r="F253">
            <v>5</v>
          </cell>
          <cell r="G253" t="str">
            <v>5 группа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</row>
        <row r="254">
          <cell r="D254">
            <v>0</v>
          </cell>
          <cell r="E254">
            <v>0</v>
          </cell>
          <cell r="F254">
            <v>6</v>
          </cell>
          <cell r="G254" t="str">
            <v>6 группа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</row>
        <row r="255">
          <cell r="D255">
            <v>0</v>
          </cell>
          <cell r="E255">
            <v>0</v>
          </cell>
          <cell r="F255">
            <v>7</v>
          </cell>
          <cell r="G255" t="str">
            <v>7 группа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</row>
        <row r="256"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</row>
        <row r="257"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</row>
        <row r="258">
          <cell r="D258" t="str">
            <v>Расходы на газ 2020 год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</row>
        <row r="259">
          <cell r="D259">
            <v>0</v>
          </cell>
          <cell r="E259">
            <v>0</v>
          </cell>
          <cell r="F259" t="str">
            <v>с 01.01.2020 по 30.06.2020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</row>
        <row r="260"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</row>
        <row r="261">
          <cell r="D261">
            <v>0</v>
          </cell>
          <cell r="E261">
            <v>0</v>
          </cell>
          <cell r="F261" t="str">
            <v>№ п/п</v>
          </cell>
          <cell r="G261" t="str">
            <v>Группа по точкам поставки природного газа</v>
          </cell>
          <cell r="H261" t="str">
            <v>Расход природного газа в рамках минимального уровня оптовой цены на газ, тыс.куб.м.</v>
          </cell>
          <cell r="I261" t="str">
            <v>Оптовая цена, руб./тыс.куб.м. (c НДС)</v>
          </cell>
          <cell r="J261" t="str">
            <v>Сумма затрат на газ, тыс.руб. (c НДС)</v>
          </cell>
          <cell r="K261" t="str">
            <v>Расход природного газа в рамках максимального уровня оптовой цены на газ, тыс.куб.м.</v>
          </cell>
          <cell r="L261" t="str">
            <v>Оптовая цена, руб./тыс.куб.м. (c НДС)</v>
          </cell>
          <cell r="M261" t="str">
            <v>Сумма затрат на газ, тыс.руб. (c НДС)</v>
          </cell>
          <cell r="N261" t="str">
            <v>Тариф на транспортировку природного газа, руб./тыс.куб.м. (c НДС)</v>
          </cell>
          <cell r="O261" t="str">
            <v>Сумма затрат на транспортировку природного газа, тыс.руб. (c НДС)</v>
          </cell>
          <cell r="P261" t="str">
            <v>ПССУ, руб./тыс.куб.м. (c НДС)</v>
          </cell>
          <cell r="Q261" t="str">
            <v>Сумма затрат на снабженческо-сбытовые услуги, тыс.руб. (c НДС)</v>
          </cell>
          <cell r="R261" t="str">
            <v>Итого расходы на природный газ, тыс.руб. (c НДС)</v>
          </cell>
          <cell r="S261">
            <v>0</v>
          </cell>
        </row>
        <row r="262">
          <cell r="D262">
            <v>0</v>
          </cell>
          <cell r="E262">
            <v>0</v>
          </cell>
          <cell r="F262" t="str">
            <v>1</v>
          </cell>
          <cell r="G262" t="str">
            <v>2</v>
          </cell>
          <cell r="H262" t="str">
            <v>3</v>
          </cell>
          <cell r="I262" t="str">
            <v>4</v>
          </cell>
          <cell r="J262" t="str">
            <v>5</v>
          </cell>
          <cell r="K262" t="str">
            <v>6</v>
          </cell>
          <cell r="L262" t="str">
            <v>7</v>
          </cell>
          <cell r="M262" t="str">
            <v>8</v>
          </cell>
          <cell r="N262" t="str">
            <v>9</v>
          </cell>
          <cell r="O262" t="str">
            <v>10</v>
          </cell>
          <cell r="P262" t="str">
            <v>11</v>
          </cell>
          <cell r="Q262" t="str">
            <v>12</v>
          </cell>
          <cell r="R262" t="str">
            <v>13</v>
          </cell>
          <cell r="S262">
            <v>0</v>
          </cell>
        </row>
        <row r="263">
          <cell r="D263">
            <v>0</v>
          </cell>
          <cell r="E263">
            <v>0</v>
          </cell>
          <cell r="F263">
            <v>1</v>
          </cell>
          <cell r="G263" t="str">
            <v>1 группа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</row>
        <row r="264">
          <cell r="D264">
            <v>0</v>
          </cell>
          <cell r="E264">
            <v>0</v>
          </cell>
          <cell r="F264">
            <v>2</v>
          </cell>
          <cell r="G264" t="str">
            <v>2 группа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</row>
        <row r="265">
          <cell r="D265">
            <v>0</v>
          </cell>
          <cell r="E265">
            <v>0</v>
          </cell>
          <cell r="F265">
            <v>3</v>
          </cell>
          <cell r="G265" t="str">
            <v>3 группа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</row>
        <row r="266">
          <cell r="D266">
            <v>0</v>
          </cell>
          <cell r="E266">
            <v>0</v>
          </cell>
          <cell r="F266">
            <v>4</v>
          </cell>
          <cell r="G266" t="str">
            <v>4 группа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</row>
        <row r="267">
          <cell r="D267">
            <v>0</v>
          </cell>
          <cell r="E267">
            <v>0</v>
          </cell>
          <cell r="F267">
            <v>5</v>
          </cell>
          <cell r="G267" t="str">
            <v>5 группа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</row>
        <row r="268">
          <cell r="D268">
            <v>0</v>
          </cell>
          <cell r="E268">
            <v>0</v>
          </cell>
          <cell r="F268">
            <v>6</v>
          </cell>
          <cell r="G268" t="str">
            <v>6 группа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</row>
        <row r="269">
          <cell r="D269">
            <v>0</v>
          </cell>
          <cell r="E269">
            <v>0</v>
          </cell>
          <cell r="F269">
            <v>7</v>
          </cell>
          <cell r="G269" t="str">
            <v>7 группа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</row>
        <row r="270"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</row>
        <row r="271"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</row>
        <row r="272"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</row>
        <row r="273">
          <cell r="D273">
            <v>0</v>
          </cell>
          <cell r="E273">
            <v>0</v>
          </cell>
          <cell r="F273" t="str">
            <v>с 01.07.2020 по 31.12.2020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</row>
        <row r="274"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</row>
        <row r="275">
          <cell r="D275">
            <v>0</v>
          </cell>
          <cell r="E275">
            <v>0</v>
          </cell>
          <cell r="F275" t="str">
            <v>№ п/п</v>
          </cell>
          <cell r="G275" t="str">
            <v>Группа по точкам поставки природного газа</v>
          </cell>
          <cell r="H275" t="str">
            <v>Расход природного газа в рамках минимального уровня оптовой цены на газ, тыс.куб.м.</v>
          </cell>
          <cell r="I275" t="str">
            <v>Оптовая цена, руб./тыс.куб.м. (c НДС)</v>
          </cell>
          <cell r="J275" t="str">
            <v>Сумма затрат на газ, тыс.руб. (c НДС)</v>
          </cell>
          <cell r="K275" t="str">
            <v>Расход природного газа в рамках максимального уровня оптовой цены на газ, тыс.куб.м.</v>
          </cell>
          <cell r="L275" t="str">
            <v>Оптовая цена, руб./тыс.куб.м. (c НДС)</v>
          </cell>
          <cell r="M275" t="str">
            <v>Сумма затрат на газ, тыс.руб. (c НДС)</v>
          </cell>
          <cell r="N275" t="str">
            <v>Тариф на транспортировку природного газа, руб./тыс.куб.м. (c НДС)</v>
          </cell>
          <cell r="O275" t="str">
            <v>Сумма затрат на транспортировку природного газа, тыс.руб. (c НДС)</v>
          </cell>
          <cell r="P275" t="str">
            <v>ПССУ, руб./тыс.куб.м. (c НДС)</v>
          </cell>
          <cell r="Q275" t="str">
            <v>Сумма затрат на снабженческо-сбытовые услуги, тыс.руб. (c НДС)</v>
          </cell>
          <cell r="R275" t="str">
            <v>Итого расходы на природный газ, тыс.руб. (c НДС)</v>
          </cell>
          <cell r="S275">
            <v>0</v>
          </cell>
        </row>
        <row r="276">
          <cell r="D276">
            <v>0</v>
          </cell>
          <cell r="E276">
            <v>0</v>
          </cell>
          <cell r="F276" t="str">
            <v>1</v>
          </cell>
          <cell r="G276" t="str">
            <v>2</v>
          </cell>
          <cell r="H276" t="str">
            <v>3</v>
          </cell>
          <cell r="I276" t="str">
            <v>4</v>
          </cell>
          <cell r="J276" t="str">
            <v>5</v>
          </cell>
          <cell r="K276" t="str">
            <v>6</v>
          </cell>
          <cell r="L276" t="str">
            <v>7</v>
          </cell>
          <cell r="M276" t="str">
            <v>8</v>
          </cell>
          <cell r="N276" t="str">
            <v>9</v>
          </cell>
          <cell r="O276" t="str">
            <v>10</v>
          </cell>
          <cell r="P276" t="str">
            <v>11</v>
          </cell>
          <cell r="Q276" t="str">
            <v>12</v>
          </cell>
          <cell r="R276" t="str">
            <v>13</v>
          </cell>
          <cell r="S276">
            <v>0</v>
          </cell>
        </row>
        <row r="277">
          <cell r="D277">
            <v>0</v>
          </cell>
          <cell r="E277">
            <v>0</v>
          </cell>
          <cell r="F277">
            <v>1</v>
          </cell>
          <cell r="G277" t="str">
            <v>1 группа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</row>
        <row r="278">
          <cell r="D278">
            <v>0</v>
          </cell>
          <cell r="E278">
            <v>0</v>
          </cell>
          <cell r="F278">
            <v>2</v>
          </cell>
          <cell r="G278" t="str">
            <v>2 группа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</row>
        <row r="279">
          <cell r="D279">
            <v>0</v>
          </cell>
          <cell r="E279">
            <v>0</v>
          </cell>
          <cell r="F279">
            <v>3</v>
          </cell>
          <cell r="G279" t="str">
            <v>3 группа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</row>
        <row r="280">
          <cell r="D280">
            <v>0</v>
          </cell>
          <cell r="E280">
            <v>0</v>
          </cell>
          <cell r="F280">
            <v>4</v>
          </cell>
          <cell r="G280" t="str">
            <v>4 группа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</row>
        <row r="281">
          <cell r="D281">
            <v>0</v>
          </cell>
          <cell r="E281">
            <v>0</v>
          </cell>
          <cell r="F281">
            <v>5</v>
          </cell>
          <cell r="G281" t="str">
            <v>5 группа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</row>
        <row r="282">
          <cell r="D282">
            <v>0</v>
          </cell>
          <cell r="E282">
            <v>0</v>
          </cell>
          <cell r="F282">
            <v>6</v>
          </cell>
          <cell r="G282" t="str">
            <v>6 группа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</row>
        <row r="283">
          <cell r="D283">
            <v>0</v>
          </cell>
          <cell r="E283">
            <v>0</v>
          </cell>
          <cell r="F283">
            <v>7</v>
          </cell>
          <cell r="G283" t="str">
            <v>7 группа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</row>
        <row r="284"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</row>
        <row r="285"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11">
          <cell r="G11">
            <v>10334123.9</v>
          </cell>
          <cell r="J11">
            <v>11418901.207723301</v>
          </cell>
          <cell r="K11">
            <v>0</v>
          </cell>
          <cell r="L11">
            <v>9290147.3301719092</v>
          </cell>
          <cell r="M11">
            <v>0</v>
          </cell>
          <cell r="N11">
            <v>9733564.4378858805</v>
          </cell>
          <cell r="O11">
            <v>0</v>
          </cell>
          <cell r="P11">
            <v>10255487.827920955</v>
          </cell>
          <cell r="R11">
            <v>8820086.2701645028</v>
          </cell>
          <cell r="T11">
            <v>9448740.5322099328</v>
          </cell>
          <cell r="V11">
            <v>9953030.2153095696</v>
          </cell>
          <cell r="X11">
            <v>0</v>
          </cell>
        </row>
        <row r="12">
          <cell r="G12">
            <v>1089.1300000000001</v>
          </cell>
          <cell r="J12">
            <v>1637.6200000000001</v>
          </cell>
          <cell r="K12">
            <v>0</v>
          </cell>
          <cell r="L12">
            <v>1794.2019999999998</v>
          </cell>
          <cell r="M12">
            <v>0</v>
          </cell>
          <cell r="N12">
            <v>1952.8000000000002</v>
          </cell>
          <cell r="O12">
            <v>0</v>
          </cell>
          <cell r="P12">
            <v>2046.4699999999998</v>
          </cell>
          <cell r="R12">
            <v>1794.2019999999998</v>
          </cell>
          <cell r="T12">
            <v>1952.8000000000002</v>
          </cell>
          <cell r="V12">
            <v>2046.4699999999998</v>
          </cell>
          <cell r="X12">
            <v>0</v>
          </cell>
        </row>
        <row r="13">
          <cell r="G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R13">
            <v>0</v>
          </cell>
          <cell r="T13">
            <v>0</v>
          </cell>
          <cell r="V13">
            <v>0</v>
          </cell>
          <cell r="X13">
            <v>0</v>
          </cell>
        </row>
        <row r="14">
          <cell r="G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R14">
            <v>0</v>
          </cell>
          <cell r="T14">
            <v>0</v>
          </cell>
          <cell r="V14">
            <v>0</v>
          </cell>
          <cell r="X14">
            <v>0</v>
          </cell>
        </row>
        <row r="15">
          <cell r="G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R15">
            <v>0</v>
          </cell>
          <cell r="T15">
            <v>0</v>
          </cell>
          <cell r="V15">
            <v>0</v>
          </cell>
          <cell r="X15">
            <v>0</v>
          </cell>
        </row>
        <row r="16">
          <cell r="G16">
            <v>10335213.030000001</v>
          </cell>
          <cell r="J16">
            <v>11420538.8277233</v>
          </cell>
          <cell r="K16">
            <v>0</v>
          </cell>
          <cell r="L16">
            <v>9291941.5321719088</v>
          </cell>
          <cell r="M16">
            <v>0</v>
          </cell>
          <cell r="N16">
            <v>9735517.2378858812</v>
          </cell>
          <cell r="O16">
            <v>0</v>
          </cell>
          <cell r="P16">
            <v>10257534.297920955</v>
          </cell>
          <cell r="T16">
            <v>9450693.3322099335</v>
          </cell>
          <cell r="V16">
            <v>9955076.6853095703</v>
          </cell>
          <cell r="X16">
            <v>0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>
        <row r="27">
          <cell r="I27">
            <v>302113.99999999994</v>
          </cell>
          <cell r="K27">
            <v>209603.5</v>
          </cell>
          <cell r="N27">
            <v>217987.64</v>
          </cell>
          <cell r="Q27">
            <v>229105.00964</v>
          </cell>
          <cell r="Z27">
            <v>99603.5</v>
          </cell>
        </row>
      </sheetData>
      <sheetData sheetId="69"/>
      <sheetData sheetId="70">
        <row r="11">
          <cell r="G11">
            <v>0</v>
          </cell>
          <cell r="H11">
            <v>0</v>
          </cell>
          <cell r="X11">
            <v>0</v>
          </cell>
        </row>
        <row r="12">
          <cell r="G12">
            <v>0</v>
          </cell>
          <cell r="H12">
            <v>0</v>
          </cell>
          <cell r="X12">
            <v>0</v>
          </cell>
        </row>
        <row r="20">
          <cell r="G20">
            <v>0</v>
          </cell>
          <cell r="H20">
            <v>0</v>
          </cell>
          <cell r="X20">
            <v>0</v>
          </cell>
        </row>
        <row r="28">
          <cell r="G28">
            <v>0</v>
          </cell>
          <cell r="H28">
            <v>0</v>
          </cell>
          <cell r="X28">
            <v>0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>
        <row r="2">
          <cell r="B2" t="str">
            <v>да</v>
          </cell>
          <cell r="D2">
            <v>2011</v>
          </cell>
          <cell r="E2" t="str">
            <v>общая</v>
          </cell>
          <cell r="F2" t="str">
            <v>является</v>
          </cell>
          <cell r="G2" t="str">
            <v>комбинированная</v>
          </cell>
          <cell r="H2" t="str">
            <v>МУ</v>
          </cell>
          <cell r="I2" t="str">
            <v>ООО "Донэнергосбыт"</v>
          </cell>
          <cell r="J2" t="str">
            <v>газ</v>
          </cell>
          <cell r="R2">
            <v>0</v>
          </cell>
          <cell r="T2" t="str">
            <v>3 года</v>
          </cell>
          <cell r="V2" t="str">
            <v>1</v>
          </cell>
          <cell r="X2" t="str">
            <v>3 года</v>
          </cell>
        </row>
        <row r="3">
          <cell r="B3" t="str">
            <v>нет</v>
          </cell>
          <cell r="D3">
            <v>2012</v>
          </cell>
          <cell r="E3" t="str">
            <v>упрощенная</v>
          </cell>
          <cell r="F3" t="str">
            <v>не является</v>
          </cell>
          <cell r="G3" t="str">
            <v>некомбинированная</v>
          </cell>
          <cell r="H3" t="str">
            <v>МУП</v>
          </cell>
          <cell r="I3" t="str">
            <v>ОАО "Энергосбыт Ростовэнерго"</v>
          </cell>
          <cell r="J3" t="str">
            <v>газ, уголь</v>
          </cell>
          <cell r="R3">
            <v>1</v>
          </cell>
          <cell r="T3" t="str">
            <v>более 3 лет</v>
          </cell>
          <cell r="V3" t="str">
            <v>2</v>
          </cell>
          <cell r="X3" t="str">
            <v>5 лет</v>
          </cell>
        </row>
        <row r="4">
          <cell r="D4">
            <v>2013</v>
          </cell>
          <cell r="H4" t="str">
            <v>ГУП</v>
          </cell>
          <cell r="I4" t="str">
            <v>Прочие (вводятся с клавиатуры)</v>
          </cell>
          <cell r="J4" t="str">
            <v>уголь</v>
          </cell>
          <cell r="R4">
            <v>2</v>
          </cell>
          <cell r="T4" t="str">
            <v>нет</v>
          </cell>
          <cell r="V4" t="str">
            <v>3</v>
          </cell>
        </row>
        <row r="5">
          <cell r="D5">
            <v>2014</v>
          </cell>
          <cell r="H5" t="str">
            <v>ООО</v>
          </cell>
          <cell r="J5" t="str">
            <v>прочее (вводится с клавиатуры)</v>
          </cell>
          <cell r="R5">
            <v>3</v>
          </cell>
          <cell r="V5" t="str">
            <v>4</v>
          </cell>
        </row>
        <row r="6">
          <cell r="D6">
            <v>2015</v>
          </cell>
          <cell r="H6" t="str">
            <v>ОАО</v>
          </cell>
          <cell r="R6">
            <v>4</v>
          </cell>
          <cell r="V6" t="str">
            <v>5</v>
          </cell>
        </row>
        <row r="7">
          <cell r="D7">
            <v>2016</v>
          </cell>
          <cell r="H7" t="str">
            <v>ЗАО</v>
          </cell>
          <cell r="R7">
            <v>5</v>
          </cell>
          <cell r="V7" t="str">
            <v>6</v>
          </cell>
        </row>
        <row r="8">
          <cell r="D8">
            <v>2017</v>
          </cell>
          <cell r="H8" t="str">
            <v>Товарищество</v>
          </cell>
          <cell r="R8">
            <v>6</v>
          </cell>
          <cell r="V8" t="str">
            <v>7</v>
          </cell>
        </row>
        <row r="9">
          <cell r="D9">
            <v>2018</v>
          </cell>
          <cell r="H9" t="str">
            <v>ИП</v>
          </cell>
          <cell r="R9">
            <v>7</v>
          </cell>
          <cell r="V9" t="str">
            <v>8</v>
          </cell>
        </row>
        <row r="10">
          <cell r="D10">
            <v>2019</v>
          </cell>
          <cell r="H10" t="str">
            <v>ЖСК</v>
          </cell>
          <cell r="R10">
            <v>8</v>
          </cell>
          <cell r="V10" t="str">
            <v>9</v>
          </cell>
        </row>
        <row r="11">
          <cell r="D11">
            <v>2020</v>
          </cell>
          <cell r="H11" t="str">
            <v>ТСЖ</v>
          </cell>
          <cell r="R11">
            <v>9</v>
          </cell>
          <cell r="V11" t="str">
            <v>10</v>
          </cell>
        </row>
        <row r="12">
          <cell r="R12">
            <v>10</v>
          </cell>
          <cell r="V12" t="str">
            <v>11</v>
          </cell>
        </row>
        <row r="13">
          <cell r="V13" t="str">
            <v>12</v>
          </cell>
        </row>
        <row r="14">
          <cell r="V14" t="str">
            <v>13</v>
          </cell>
        </row>
        <row r="15">
          <cell r="V15" t="str">
            <v>14</v>
          </cell>
        </row>
        <row r="16">
          <cell r="V16" t="str">
            <v>15</v>
          </cell>
        </row>
        <row r="17">
          <cell r="V17" t="str">
            <v>16</v>
          </cell>
        </row>
        <row r="18">
          <cell r="V18" t="str">
            <v>17</v>
          </cell>
        </row>
        <row r="19">
          <cell r="V19" t="str">
            <v>18</v>
          </cell>
        </row>
        <row r="20">
          <cell r="V20" t="str">
            <v>19</v>
          </cell>
        </row>
        <row r="21">
          <cell r="V21" t="str">
            <v>20</v>
          </cell>
        </row>
      </sheetData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>
        <row r="2">
          <cell r="D2" t="str">
            <v>Азовский район</v>
          </cell>
        </row>
        <row r="3">
          <cell r="D3" t="str">
            <v>Аксайский район</v>
          </cell>
        </row>
        <row r="4">
          <cell r="D4" t="str">
            <v>Багаевский район</v>
          </cell>
        </row>
        <row r="5">
          <cell r="D5" t="str">
            <v>Белокалитвинский район</v>
          </cell>
        </row>
        <row r="6">
          <cell r="D6" t="str">
            <v>Боковский район</v>
          </cell>
        </row>
        <row r="7">
          <cell r="D7" t="str">
            <v>Верхнедонской район</v>
          </cell>
        </row>
        <row r="8">
          <cell r="D8" t="str">
            <v>Веселовский район</v>
          </cell>
        </row>
        <row r="9">
          <cell r="D9" t="str">
            <v>Волгодонской район</v>
          </cell>
        </row>
        <row r="10">
          <cell r="D10" t="str">
            <v>Город Азов</v>
          </cell>
        </row>
        <row r="11">
          <cell r="D11" t="str">
            <v>Город Батайск</v>
          </cell>
        </row>
        <row r="12">
          <cell r="D12" t="str">
            <v>Город Волгодонск</v>
          </cell>
        </row>
        <row r="13">
          <cell r="D13" t="str">
            <v>Город Гуково</v>
          </cell>
        </row>
        <row r="14">
          <cell r="D14" t="str">
            <v>Город Донецк</v>
          </cell>
        </row>
        <row r="15">
          <cell r="D15" t="str">
            <v>Город Зверево</v>
          </cell>
        </row>
        <row r="16">
          <cell r="D16" t="str">
            <v>Город Каменск-Шахтинский</v>
          </cell>
        </row>
        <row r="17">
          <cell r="D17" t="str">
            <v>Город Новочеркасск</v>
          </cell>
        </row>
        <row r="18">
          <cell r="D18" t="str">
            <v>Город Новошахтинск</v>
          </cell>
        </row>
        <row r="19">
          <cell r="D19" t="str">
            <v>Город Ростов-на-Дону</v>
          </cell>
        </row>
        <row r="20">
          <cell r="D20" t="str">
            <v>Город Таганрог</v>
          </cell>
        </row>
        <row r="21">
          <cell r="D21" t="str">
            <v>Город Шахты</v>
          </cell>
        </row>
        <row r="22">
          <cell r="D22" t="str">
            <v>Дубовский район</v>
          </cell>
        </row>
        <row r="23">
          <cell r="D23" t="str">
            <v>Егорлыкский район</v>
          </cell>
        </row>
        <row r="24">
          <cell r="D24" t="str">
            <v>Заветинский район</v>
          </cell>
        </row>
        <row r="25">
          <cell r="D25" t="str">
            <v>Зерноградский район</v>
          </cell>
        </row>
        <row r="26">
          <cell r="D26" t="str">
            <v>Зимовниковский район</v>
          </cell>
        </row>
        <row r="27">
          <cell r="D27" t="str">
            <v>Кагальницкий район</v>
          </cell>
        </row>
        <row r="28">
          <cell r="D28" t="str">
            <v>Каменский район</v>
          </cell>
        </row>
        <row r="29">
          <cell r="D29" t="str">
            <v>Кашарский район</v>
          </cell>
        </row>
        <row r="30">
          <cell r="D30" t="str">
            <v>Константиновский район</v>
          </cell>
        </row>
        <row r="31">
          <cell r="D31" t="str">
            <v>Красносулинский район</v>
          </cell>
        </row>
        <row r="32">
          <cell r="D32" t="str">
            <v>Куйбышевский район</v>
          </cell>
        </row>
        <row r="33">
          <cell r="D33" t="str">
            <v>Мартыновский район</v>
          </cell>
        </row>
        <row r="34">
          <cell r="D34" t="str">
            <v>Матвеево-Курганский район</v>
          </cell>
        </row>
        <row r="35">
          <cell r="D35" t="str">
            <v>Миллеровский район</v>
          </cell>
        </row>
        <row r="36">
          <cell r="D36" t="str">
            <v>Милютинский район</v>
          </cell>
        </row>
        <row r="37">
          <cell r="D37" t="str">
            <v>Морозовский район</v>
          </cell>
        </row>
        <row r="38">
          <cell r="D38" t="str">
            <v>Мясниковский район</v>
          </cell>
        </row>
        <row r="39">
          <cell r="D39" t="str">
            <v>Неклиновский район</v>
          </cell>
        </row>
        <row r="40">
          <cell r="D40" t="str">
            <v>Обливский район</v>
          </cell>
        </row>
        <row r="41">
          <cell r="D41" t="str">
            <v>Октябрьский район</v>
          </cell>
        </row>
        <row r="42">
          <cell r="D42" t="str">
            <v>Орловский район</v>
          </cell>
        </row>
        <row r="43">
          <cell r="D43" t="str">
            <v>Песчанокопский район</v>
          </cell>
        </row>
        <row r="44">
          <cell r="D44" t="str">
            <v>Пролетарский район</v>
          </cell>
        </row>
        <row r="45">
          <cell r="D45" t="str">
            <v>Ремонтненский район</v>
          </cell>
        </row>
        <row r="46">
          <cell r="D46" t="str">
            <v>Родионово-Несветайский район</v>
          </cell>
        </row>
        <row r="47">
          <cell r="D47" t="str">
            <v>Сальский район</v>
          </cell>
        </row>
        <row r="48">
          <cell r="D48" t="str">
            <v>Семикаракорский район</v>
          </cell>
        </row>
        <row r="49">
          <cell r="D49" t="str">
            <v>Советский район</v>
          </cell>
        </row>
        <row r="50">
          <cell r="D50" t="str">
            <v>Тарасовский район</v>
          </cell>
        </row>
        <row r="51">
          <cell r="D51" t="str">
            <v>Тацинский район</v>
          </cell>
        </row>
        <row r="52">
          <cell r="D52" t="str">
            <v>Усть-Донецкий район</v>
          </cell>
        </row>
        <row r="53">
          <cell r="D53" t="str">
            <v>Целинский район</v>
          </cell>
        </row>
        <row r="54">
          <cell r="D54" t="str">
            <v>Цимлянский район</v>
          </cell>
        </row>
        <row r="55">
          <cell r="D55" t="str">
            <v>Чертковский район</v>
          </cell>
        </row>
        <row r="56">
          <cell r="D56" t="str">
            <v>Шолоховский район</v>
          </cell>
        </row>
      </sheetData>
      <sheetData sheetId="148"/>
      <sheetData sheetId="149"/>
      <sheetData sheetId="150"/>
      <sheetData sheetId="151"/>
      <sheetData sheetId="152"/>
      <sheetData sheetId="153"/>
      <sheetData sheetId="15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Исходные данные"/>
      <sheetName val="Листы и точность"/>
      <sheetName val="стандарты"/>
      <sheetName val="ПО по МО"/>
      <sheetName val="Факт"/>
      <sheetName val="Таблица 3.1"/>
      <sheetName val="Таблица 4.1"/>
      <sheetName val="Таблица 4.2"/>
      <sheetName val="Таблица 4.3"/>
      <sheetName val="Сырье"/>
      <sheetName val="Таблица 4.4"/>
      <sheetName val="Таблица 4.5"/>
      <sheetName val="Топливо (ТСО)"/>
      <sheetName val="Топливо (РСТ)"/>
      <sheetName val="Прил.к Протоколу"/>
      <sheetName val="Таблица 4.7 (технол.нужды)"/>
      <sheetName val="Таблица 4.7 (хоз.нужды)"/>
      <sheetName val="Таблица 4.7 (сумма)"/>
      <sheetName val="Таблица 4.8"/>
      <sheetName val="Численность"/>
      <sheetName val="Таблица 4.9"/>
      <sheetName val="Таблица 4.10"/>
      <sheetName val="Ремонт"/>
      <sheetName val="Рег.услуги"/>
      <sheetName val="Работы и услуги"/>
      <sheetName val="Иные работы"/>
      <sheetName val="Прочие"/>
      <sheetName val="ВР"/>
      <sheetName val="Прибыль"/>
      <sheetName val="Налог на прибыль"/>
      <sheetName val="Результаты деятельности"/>
      <sheetName val="Таблица 4.13"/>
      <sheetName val="Таблица 4.14"/>
      <sheetName val="Таблица 4.15"/>
      <sheetName val="Смета"/>
      <sheetName val="Заключение"/>
      <sheetName val="Таблица 4.11"/>
      <sheetName val="Таблица 4.12"/>
      <sheetName val="Таблица 6.1"/>
      <sheetName val="Таблица 6.2"/>
      <sheetName val="Таблица 6.3"/>
      <sheetName val="Таблица 6.4"/>
      <sheetName val="Таблица 6.5"/>
      <sheetName val="Таблица 6.6"/>
      <sheetName val="Таблица 6.7"/>
      <sheetName val="Таблица 6.8"/>
      <sheetName val="Прил.к п.4.1 "/>
      <sheetName val="Прил.к п.4.2"/>
      <sheetName val="Основания"/>
      <sheetName val="Комментарии"/>
      <sheetName val="Проверка"/>
      <sheetName val="modProvGeneralProc"/>
      <sheetName val="et_union"/>
      <sheetName val="TEHSHEET"/>
      <sheetName val="mod20020frmReestr"/>
      <sheetName val="modfrmDocumentDetalis"/>
      <sheetName val="et_col_union"/>
      <sheetName val="modInstruction"/>
      <sheetName val="modUpdImportData"/>
      <sheetName val="modfrmCheckUpdates"/>
      <sheetName val="modUpdTemplMain"/>
      <sheetName val="modfrmUpdateIsInProgress"/>
      <sheetName val="mod_00"/>
      <sheetName val="mod_01"/>
      <sheetName val="mod_02"/>
      <sheetName val="mod_03"/>
      <sheetName val="mod_04"/>
      <sheetName val="mod_05"/>
      <sheetName val="mod_07"/>
      <sheetName val="mod_09"/>
      <sheetName val="mod_10"/>
      <sheetName val="mod_13"/>
      <sheetName val="mod_15"/>
      <sheetName val="mod_16"/>
      <sheetName val="mod_17"/>
      <sheetName val="mod_23"/>
      <sheetName val="mod_24"/>
      <sheetName val="mod_25"/>
      <sheetName val="mod_26"/>
      <sheetName val="mod_28"/>
      <sheetName val="mod_29"/>
      <sheetName val="mod_30"/>
      <sheetName val="mod_31"/>
      <sheetName val="mod_33"/>
      <sheetName val="mod_35"/>
      <sheetName val="mod_38"/>
      <sheetName val="mod_39"/>
      <sheetName val="mod_40"/>
      <sheetName val="mod_41"/>
      <sheetName val="mod_42"/>
      <sheetName val="mod_46"/>
      <sheetName val="mod_49"/>
      <sheetName val="mod_50"/>
      <sheetName val="mod_51"/>
      <sheetName val="mod_55"/>
      <sheetName val="mod_56"/>
      <sheetName val="mod_57"/>
      <sheetName val="mod_58"/>
      <sheetName val="mod_60"/>
      <sheetName val="mod_61"/>
      <sheetName val="mod_62"/>
      <sheetName val="mod_63"/>
      <sheetName val="mod_64"/>
      <sheetName val="mod_65"/>
      <sheetName val="mod_66"/>
      <sheetName val="mod_67"/>
      <sheetName val="mod_27"/>
      <sheetName val="mod_68"/>
      <sheetName val="mod_69"/>
      <sheetName val="mod_70"/>
      <sheetName val="mod_71"/>
      <sheetName val="mod_73"/>
      <sheetName val="mod_72"/>
      <sheetName val="modGlobalAddRange"/>
      <sheetName val="modPROV"/>
      <sheetName val="modfrmDateChoose"/>
      <sheetName val="AllSheetsInThisWorkbook"/>
      <sheetName val="REESTR_MO"/>
      <sheetName val="REESTR_ORG"/>
      <sheetName val="modReestr"/>
      <sheetName val="modClassifierValidate"/>
      <sheetName val="modInfo"/>
      <sheetName val="modDblClick"/>
      <sheetName val="modHyp"/>
      <sheetName val="modChange"/>
      <sheetName val="modCommandButton"/>
    </sheetNames>
    <sheetDataSet>
      <sheetData sheetId="0"/>
      <sheetData sheetId="1"/>
      <sheetData sheetId="2"/>
      <sheetData sheetId="3">
        <row r="24">
          <cell r="F24" t="str">
            <v>Утверждено</v>
          </cell>
        </row>
        <row r="26">
          <cell r="F26" t="str">
            <v>Утверждено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1">
          <cell r="J11">
            <v>867.29</v>
          </cell>
        </row>
        <row r="12">
          <cell r="J12">
            <v>27619.95</v>
          </cell>
        </row>
        <row r="16">
          <cell r="J16">
            <v>0</v>
          </cell>
        </row>
        <row r="19">
          <cell r="J19">
            <v>0</v>
          </cell>
        </row>
        <row r="20">
          <cell r="J20">
            <v>9.2519999999999989</v>
          </cell>
        </row>
        <row r="21">
          <cell r="J21">
            <v>851.7299999999999</v>
          </cell>
        </row>
        <row r="22">
          <cell r="J22">
            <v>176.57499999999999</v>
          </cell>
        </row>
        <row r="23">
          <cell r="J23">
            <v>0.94</v>
          </cell>
        </row>
        <row r="24">
          <cell r="J24">
            <v>191.11</v>
          </cell>
        </row>
        <row r="25">
          <cell r="J25">
            <v>0</v>
          </cell>
        </row>
        <row r="26">
          <cell r="J26">
            <v>0</v>
          </cell>
        </row>
        <row r="27">
          <cell r="J27">
            <v>105</v>
          </cell>
        </row>
        <row r="28">
          <cell r="J28">
            <v>593.40025663999995</v>
          </cell>
        </row>
        <row r="34">
          <cell r="J34">
            <v>769.25415080000005</v>
          </cell>
        </row>
        <row r="41">
          <cell r="J41">
            <v>0</v>
          </cell>
        </row>
        <row r="46">
          <cell r="J46">
            <v>495.44851328608405</v>
          </cell>
        </row>
        <row r="47">
          <cell r="J47">
            <v>0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2">
          <cell r="W2" t="str">
            <v>Утверждено</v>
          </cell>
        </row>
        <row r="3">
          <cell r="W3" t="str">
            <v>Не утверждено</v>
          </cell>
        </row>
      </sheetData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20020frmReestr"/>
      <sheetName val="mod_05"/>
      <sheetName val="modPROV"/>
      <sheetName val="mod_07"/>
      <sheetName val="mod_64"/>
      <sheetName val="Инструкция"/>
      <sheetName val="Лог обновления"/>
      <sheetName val="Титульный"/>
      <sheetName val="Листы и точность"/>
      <sheetName val="Стандарты"/>
      <sheetName val="ПО по МО"/>
      <sheetName val="Факт"/>
      <sheetName val="Таблица 3.1"/>
      <sheetName val="Таблица 4.1"/>
      <sheetName val="Таблица 4.2"/>
      <sheetName val="Таблица 4.3"/>
      <sheetName val="Сырье"/>
      <sheetName val="Таблица 4.4"/>
      <sheetName val="Таблица 4.5"/>
      <sheetName val="Топливо"/>
      <sheetName val="Таблица 4.7 (технол.нужды)"/>
      <sheetName val="Таблица 4.7 (хоз.нужды)"/>
      <sheetName val="Таблица 4.7 (сумма)"/>
      <sheetName val="Таблица 4.8"/>
      <sheetName val="Численность"/>
      <sheetName val="Таблица 4.9"/>
      <sheetName val="Таблица 4.10"/>
      <sheetName val="Ремонт"/>
      <sheetName val="Рег.услуги"/>
      <sheetName val="Работы и услуги"/>
      <sheetName val="Иные работы"/>
      <sheetName val="Прочие"/>
      <sheetName val="ВР"/>
      <sheetName val="Прибыль"/>
      <sheetName val="Налог на прибыль"/>
      <sheetName val="Результаты деятельности"/>
      <sheetName val="Таблица 4.13"/>
      <sheetName val="Таблица 4.14"/>
      <sheetName val="Таблица 4.15"/>
      <sheetName val="Смета"/>
      <sheetName val="Таблица 4.11"/>
      <sheetName val="Таблица 4.12"/>
      <sheetName val="Таблица 6.1"/>
      <sheetName val="Таблица 6.2"/>
      <sheetName val="Таблица 6.3"/>
      <sheetName val="Таблица 6.4"/>
      <sheetName val="Таблица 6.5"/>
      <sheetName val="Таблица 6.6"/>
      <sheetName val="Таблица 6.7"/>
      <sheetName val="Таблица 6.8"/>
      <sheetName val="Комментарии"/>
      <sheetName val="Проверка"/>
      <sheetName val="et_union"/>
      <sheetName val="modProvGeneralProc"/>
      <sheetName val="TEHSHEET"/>
      <sheetName val="et_col_union"/>
      <sheetName val="modInstruction"/>
      <sheetName val="modfrmCheckUpdates"/>
      <sheetName val="modUpdTemplMain"/>
      <sheetName val="modfrmUpdateIsInProgress"/>
      <sheetName val="mod_00"/>
      <sheetName val="mod_01"/>
      <sheetName val="mod_02"/>
      <sheetName val="mod_03"/>
      <sheetName val="mod_04"/>
      <sheetName val="mod_09"/>
      <sheetName val="mod_10"/>
      <sheetName val="mod_13"/>
      <sheetName val="mod_15"/>
      <sheetName val="mod_16"/>
      <sheetName val="mod_17"/>
      <sheetName val="mod_23"/>
      <sheetName val="mod_24"/>
      <sheetName val="mod_25"/>
      <sheetName val="mod_26"/>
      <sheetName val="mod_28"/>
      <sheetName val="mod_29"/>
      <sheetName val="mod_30"/>
      <sheetName val="mod_31"/>
      <sheetName val="mod_33"/>
      <sheetName val="mod_35"/>
      <sheetName val="mod_38"/>
      <sheetName val="mod_39"/>
      <sheetName val="mod_40"/>
      <sheetName val="mod_41"/>
      <sheetName val="mod_42"/>
      <sheetName val="mod_46"/>
      <sheetName val="mod_49"/>
      <sheetName val="mod_50"/>
      <sheetName val="mod_51"/>
      <sheetName val="mod_55"/>
      <sheetName val="mod_56"/>
      <sheetName val="mod_57"/>
      <sheetName val="mod_58"/>
      <sheetName val="mod_60"/>
      <sheetName val="mod_61"/>
      <sheetName val="mod_62"/>
      <sheetName val="mod_63"/>
      <sheetName val="mod_65"/>
      <sheetName val="mod_66"/>
      <sheetName val="mod_67"/>
      <sheetName val="modGlobalAddRange"/>
      <sheetName val="modfrmDateChoose"/>
      <sheetName val="AllSheetsInThisWorkbook"/>
      <sheetName val="REESTR_MO"/>
      <sheetName val="REESTR_ORG"/>
      <sheetName val="modReestr"/>
      <sheetName val="modClassifierValidate"/>
      <sheetName val="modInfo"/>
      <sheetName val="modDblClick"/>
      <sheetName val="modHyp"/>
      <sheetName val="modChange"/>
      <sheetName val="modCommandButton"/>
      <sheetName val="TS.TARIFF.REQUEST.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F5" t="str">
            <v>Ростовская область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0">
          <cell r="J10" t="str">
            <v>в том числе</v>
          </cell>
          <cell r="R10" t="str">
            <v>в том числе</v>
          </cell>
          <cell r="AB10" t="str">
            <v>в том числе</v>
          </cell>
          <cell r="AL10" t="str">
            <v>в том числе</v>
          </cell>
          <cell r="AV10" t="str">
            <v>в том числе</v>
          </cell>
          <cell r="BF10" t="str">
            <v>в том числе</v>
          </cell>
        </row>
        <row r="11">
          <cell r="J11" t="str">
            <v>1,2 - 2,5 кгс/см2</v>
          </cell>
          <cell r="K11" t="str">
            <v>2,5 - 7,0 кгс/см2</v>
          </cell>
          <cell r="L11" t="str">
            <v>7,0 - 13,0 кгс/см2</v>
          </cell>
          <cell r="M11" t="str">
            <v>&gt; 13 кгс/см2</v>
          </cell>
          <cell r="N11" t="str">
            <v>острый и редуцированный пар</v>
          </cell>
          <cell r="R11" t="str">
            <v>1,2 - 2,5 кгс/см2</v>
          </cell>
          <cell r="S11" t="str">
            <v>2,5 - 7,0 кгс/см2</v>
          </cell>
          <cell r="T11" t="str">
            <v>7,0 - 13,0 кгс/см2</v>
          </cell>
          <cell r="U11" t="str">
            <v>&gt; 13 кгс/см2</v>
          </cell>
          <cell r="V11" t="str">
            <v>острый и редуцированный пар</v>
          </cell>
          <cell r="AB11" t="str">
            <v>1,2 - 2,5 кгс/см2</v>
          </cell>
          <cell r="AC11" t="str">
            <v>2,5 - 7,0 кгс/см2</v>
          </cell>
          <cell r="AD11" t="str">
            <v>7,0 - 13,0 кгс/см2</v>
          </cell>
          <cell r="AE11" t="str">
            <v>&gt; 13 кгс/см2</v>
          </cell>
          <cell r="AF11" t="str">
            <v>острый и редуцированный пар</v>
          </cell>
          <cell r="AL11" t="str">
            <v>1,2 - 2,5 кгс/см2</v>
          </cell>
          <cell r="AM11" t="str">
            <v>2,5 - 7,0 кгс/см2</v>
          </cell>
          <cell r="AN11" t="str">
            <v>7,0 - 13,0 кгс/см2</v>
          </cell>
          <cell r="AO11" t="str">
            <v>&gt; 13 кгс/см2</v>
          </cell>
          <cell r="AP11" t="str">
            <v>острый и редуцированный пар</v>
          </cell>
          <cell r="AV11" t="str">
            <v>1,2 - 2,5 кгс/см2</v>
          </cell>
          <cell r="AW11" t="str">
            <v>2,5 - 7,0 кгс/см2</v>
          </cell>
          <cell r="AX11" t="str">
            <v>7,0 - 13,0 кгс/см2</v>
          </cell>
          <cell r="AY11" t="str">
            <v>&gt; 13 кгс/см2</v>
          </cell>
          <cell r="AZ11" t="str">
            <v>острый и редуцированный пар</v>
          </cell>
          <cell r="BF11" t="str">
            <v>1,2 - 2,5 кгс/см2</v>
          </cell>
          <cell r="BG11" t="str">
            <v>2,5 - 7,0 кгс/см2</v>
          </cell>
          <cell r="BH11" t="str">
            <v>7,0 - 13,0 кгс/см2</v>
          </cell>
          <cell r="BI11" t="str">
            <v>&gt; 13 кгс/см2</v>
          </cell>
          <cell r="BJ11" t="str">
            <v>острый и редуцированный пар</v>
          </cell>
        </row>
        <row r="12">
          <cell r="J12">
            <v>6</v>
          </cell>
          <cell r="K12">
            <v>7</v>
          </cell>
          <cell r="L12">
            <v>8</v>
          </cell>
          <cell r="M12">
            <v>9</v>
          </cell>
          <cell r="N12">
            <v>10</v>
          </cell>
          <cell r="R12">
            <v>14</v>
          </cell>
          <cell r="S12">
            <v>15</v>
          </cell>
          <cell r="T12">
            <v>16</v>
          </cell>
          <cell r="U12">
            <v>17</v>
          </cell>
          <cell r="V12">
            <v>18</v>
          </cell>
          <cell r="AB12">
            <v>24</v>
          </cell>
          <cell r="AC12">
            <v>25</v>
          </cell>
          <cell r="AD12">
            <v>26</v>
          </cell>
          <cell r="AE12">
            <v>27</v>
          </cell>
          <cell r="AF12">
            <v>28</v>
          </cell>
          <cell r="AL12">
            <v>34</v>
          </cell>
          <cell r="AM12">
            <v>35</v>
          </cell>
          <cell r="AN12">
            <v>36</v>
          </cell>
          <cell r="AO12">
            <v>37</v>
          </cell>
          <cell r="AP12">
            <v>38</v>
          </cell>
          <cell r="AV12">
            <v>44</v>
          </cell>
          <cell r="AW12">
            <v>45</v>
          </cell>
          <cell r="AX12">
            <v>46</v>
          </cell>
          <cell r="AY12">
            <v>47</v>
          </cell>
          <cell r="AZ12">
            <v>48</v>
          </cell>
          <cell r="BF12">
            <v>54</v>
          </cell>
          <cell r="BG12">
            <v>55</v>
          </cell>
          <cell r="BH12">
            <v>56</v>
          </cell>
          <cell r="BI12">
            <v>57</v>
          </cell>
          <cell r="BJ12">
            <v>58</v>
          </cell>
        </row>
        <row r="13"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</row>
        <row r="41"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</row>
        <row r="54"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</row>
        <row r="57"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>
        <row r="2">
          <cell r="B2" t="str">
            <v>да</v>
          </cell>
        </row>
      </sheetData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>
        <row r="2">
          <cell r="D2" t="str">
            <v>Азовский район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D1:AE89"/>
  <sheetViews>
    <sheetView topLeftCell="D3" zoomScaleNormal="100" zoomScaleSheetLayoutView="100" workbookViewId="0">
      <pane xSplit="3" ySplit="8" topLeftCell="I66" activePane="bottomRight" state="frozen"/>
      <selection activeCell="F358" sqref="F358:BC358"/>
      <selection pane="topRight" activeCell="F358" sqref="F358:BC358"/>
      <selection pane="bottomLeft" activeCell="F358" sqref="F358:BC358"/>
      <selection pane="bottomRight" activeCell="AC71" sqref="AC71"/>
    </sheetView>
  </sheetViews>
  <sheetFormatPr defaultColWidth="9" defaultRowHeight="12.75"/>
  <cols>
    <col min="1" max="3" width="0" style="1" hidden="1" customWidth="1"/>
    <col min="4" max="4" width="3.5703125" style="1" customWidth="1"/>
    <col min="5" max="5" width="10.28515625" style="2" customWidth="1"/>
    <col min="6" max="6" width="74.85546875" style="1" customWidth="1"/>
    <col min="7" max="8" width="13.5703125" style="1" hidden="1" customWidth="1"/>
    <col min="9" max="10" width="13.5703125" style="1" customWidth="1"/>
    <col min="11" max="12" width="13.5703125" style="1" hidden="1" customWidth="1"/>
    <col min="13" max="13" width="14.5703125" style="1" hidden="1" customWidth="1"/>
    <col min="14" max="14" width="8.85546875" style="1" hidden="1" customWidth="1"/>
    <col min="15" max="15" width="13.5703125" style="1" hidden="1" customWidth="1"/>
    <col min="16" max="16" width="14.42578125" style="1" hidden="1" customWidth="1"/>
    <col min="17" max="17" width="9.85546875" style="1" hidden="1" customWidth="1"/>
    <col min="18" max="18" width="0.42578125" style="1" hidden="1" customWidth="1"/>
    <col min="19" max="19" width="14" style="1" hidden="1" customWidth="1"/>
    <col min="20" max="20" width="8.85546875" style="1" hidden="1" customWidth="1"/>
    <col min="21" max="21" width="1" style="1" hidden="1" customWidth="1"/>
    <col min="22" max="22" width="15.140625" style="1" customWidth="1"/>
    <col min="23" max="23" width="8.85546875" style="1" hidden="1" customWidth="1"/>
    <col min="24" max="24" width="13.5703125" style="1" hidden="1" customWidth="1"/>
    <col min="25" max="25" width="14.7109375" style="1" customWidth="1"/>
    <col min="26" max="26" width="9.28515625" style="1" customWidth="1"/>
    <col min="27" max="27" width="4.140625" style="1" hidden="1" customWidth="1"/>
    <col min="28" max="28" width="13.5703125" style="1" customWidth="1"/>
    <col min="29" max="29" width="9.5703125" style="1" customWidth="1"/>
    <col min="30" max="30" width="16.140625" style="1" hidden="1" customWidth="1"/>
    <col min="31" max="31" width="14.42578125" style="1" hidden="1" customWidth="1"/>
    <col min="32" max="16384" width="9" style="1"/>
  </cols>
  <sheetData>
    <row r="1" spans="4:31" hidden="1"/>
    <row r="2" spans="4:31" hidden="1"/>
    <row r="3" spans="4:31" ht="3.75" customHeight="1">
      <c r="S3" s="3"/>
      <c r="AB3" s="3"/>
    </row>
    <row r="4" spans="4:31" ht="10.15" hidden="1" customHeight="1">
      <c r="E4" s="4"/>
    </row>
    <row r="5" spans="4:31" ht="20.25" customHeight="1">
      <c r="E5" s="100" t="s">
        <v>145</v>
      </c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5"/>
      <c r="AB5" s="5"/>
      <c r="AC5" s="5"/>
    </row>
    <row r="6" spans="4:31" ht="27.75" customHeight="1">
      <c r="E6" s="6"/>
      <c r="F6" s="100" t="str">
        <f>IF(org="","Не определено",org&amp;" ("&amp;inn&amp;" \ "&amp;kpp&amp;")")&amp;"; Муниципальное образование - "&amp;IF(mo="","Не определено",mo)&amp;"; Муниципальный район - "&amp;IF(mr="","Не определено",mr)&amp;"; "&amp;IF(tax_system="общая","общая система налогообложения",IF(tax_system="упрощенная","упрощенная система налогообложения",""))</f>
        <v xml:space="preserve">Филиал ПАО "ОГК-2" Новочеркасская ГРЭС (2607018122 \ 615043001); Муниципальное образование - Город Новочеркасск; Муниципальный район - Город Новочеркасск; </v>
      </c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5"/>
      <c r="AB6" s="5"/>
      <c r="AC6" s="5"/>
    </row>
    <row r="7" spans="4:31" ht="10.5" customHeight="1">
      <c r="E7" s="4"/>
      <c r="G7" s="7"/>
      <c r="S7" s="3"/>
      <c r="AB7" s="3" t="s">
        <v>0</v>
      </c>
    </row>
    <row r="8" spans="4:31" ht="38.25" customHeight="1">
      <c r="E8" s="97" t="s">
        <v>1</v>
      </c>
      <c r="F8" s="98" t="s">
        <v>2</v>
      </c>
      <c r="G8" s="99" t="str">
        <f>"Утверждено на " &amp; IF(ISNUMBER(god),god-2,"xxxx") &amp; " год (справочно)"</f>
        <v>Утверждено на 2014 год (справочно)</v>
      </c>
      <c r="H8" s="99" t="str">
        <f>"Факт " &amp; IF(ISNUMBER(god),god-2,"xxxx") &amp; " года (справочно)"</f>
        <v>Факт 2014 года (справочно)</v>
      </c>
      <c r="I8" s="99" t="str">
        <f>"Утверждено " &amp; IF(ISNUMBER(god),god-1,"xxxx") &amp; " год (справочно)"</f>
        <v>Утверждено 2015 год (справочно)</v>
      </c>
      <c r="J8" s="99" t="s">
        <v>3</v>
      </c>
      <c r="K8" s="99" t="str">
        <f>"Базовый период " &amp; IF(ISNUMBER(god),god-1,"xxxx") &amp; " год (справочно)"</f>
        <v>Базовый период 2015 год (справочно)</v>
      </c>
      <c r="L8" s="88" t="str">
        <f>"Заявка ТСО на "&amp;IF(ISNUMBER(god),god,"xxxx") &amp; " год (год i0)"</f>
        <v>Заявка ТСО на 2016 год (год i0)</v>
      </c>
      <c r="M8" s="89"/>
      <c r="N8" s="90"/>
      <c r="O8" s="88" t="str">
        <f>"Заявка ТСО на "&amp;IF(ISNUMBER(god),god+1,"xxxx") &amp; " год (год i0 + 1)"</f>
        <v>Заявка ТСО на 2017 год (год i0 + 1)</v>
      </c>
      <c r="P8" s="89"/>
      <c r="Q8" s="90"/>
      <c r="R8" s="88" t="str">
        <f>"Заявка ТСО на "&amp;IF(ISNUMBER(god),god+2,"xxxx") &amp; " год (год i1)"</f>
        <v>Заявка ТСО на 2018 год (год i1)</v>
      </c>
      <c r="S8" s="89"/>
      <c r="T8" s="89"/>
      <c r="U8" s="91" t="s">
        <v>4</v>
      </c>
      <c r="V8" s="92"/>
      <c r="W8" s="93"/>
      <c r="X8" s="8" t="s">
        <v>5</v>
      </c>
      <c r="Y8" s="9" t="s">
        <v>5</v>
      </c>
      <c r="Z8" s="10"/>
      <c r="AA8" s="94" t="s">
        <v>6</v>
      </c>
      <c r="AB8" s="94"/>
      <c r="AC8" s="95"/>
      <c r="AD8" s="96" t="s">
        <v>7</v>
      </c>
      <c r="AE8" s="96" t="s">
        <v>8</v>
      </c>
    </row>
    <row r="9" spans="4:31" ht="44.25" customHeight="1">
      <c r="E9" s="97"/>
      <c r="F9" s="98"/>
      <c r="G9" s="99"/>
      <c r="H9" s="99"/>
      <c r="I9" s="99"/>
      <c r="J9" s="99"/>
      <c r="K9" s="99"/>
      <c r="L9" s="11" t="s">
        <v>9</v>
      </c>
      <c r="M9" s="11" t="s">
        <v>10</v>
      </c>
      <c r="N9" s="12" t="str">
        <f>"Изм. к "  &amp; IF(ISNUMBER(god),god-1,"xxxx") &amp; " году, %"</f>
        <v>Изм. к 2015 году, %</v>
      </c>
      <c r="O9" s="11" t="s">
        <v>11</v>
      </c>
      <c r="P9" s="11" t="s">
        <v>10</v>
      </c>
      <c r="Q9" s="12" t="str">
        <f>"Изм. к "  &amp; IF(ISNUMBER(god),god,"xxxx") &amp; " году, %"</f>
        <v>Изм. к 2016 году, %</v>
      </c>
      <c r="R9" s="11" t="s">
        <v>12</v>
      </c>
      <c r="S9" s="11" t="s">
        <v>10</v>
      </c>
      <c r="T9" s="12" t="str">
        <f>"Изм. к "  &amp; IF(ISNUMBER(god),god+1,"xxxx") &amp; " году, %"</f>
        <v>Изм. к 2017 году, %</v>
      </c>
      <c r="U9" s="13" t="s">
        <v>9</v>
      </c>
      <c r="V9" s="13" t="s">
        <v>13</v>
      </c>
      <c r="W9" s="14" t="str">
        <f>"Изм. к "  &amp; IF(ISNUMBER(god),god-1,"xxxx") &amp; " году, %"</f>
        <v>Изм. к 2015 году, %</v>
      </c>
      <c r="X9" s="13" t="s">
        <v>11</v>
      </c>
      <c r="Y9" s="13" t="s">
        <v>14</v>
      </c>
      <c r="Z9" s="14" t="str">
        <f>"Изм. к "  &amp; IF(ISNUMBER(god),god,"xxxx") &amp; " году, %"</f>
        <v>Изм. к 2016 году, %</v>
      </c>
      <c r="AA9" s="11" t="s">
        <v>12</v>
      </c>
      <c r="AB9" s="11" t="s">
        <v>15</v>
      </c>
      <c r="AC9" s="12" t="s">
        <v>149</v>
      </c>
      <c r="AD9" s="96"/>
      <c r="AE9" s="96"/>
    </row>
    <row r="10" spans="4:31">
      <c r="E10" s="15">
        <v>1</v>
      </c>
      <c r="F10" s="15">
        <f t="shared" ref="F10:AC10" si="0">E10+1</f>
        <v>2</v>
      </c>
      <c r="G10" s="15">
        <f t="shared" si="0"/>
        <v>3</v>
      </c>
      <c r="H10" s="15" t="s">
        <v>16</v>
      </c>
      <c r="I10" s="15">
        <f t="shared" si="0"/>
        <v>4</v>
      </c>
      <c r="J10" s="15"/>
      <c r="K10" s="15">
        <f>I10+1</f>
        <v>5</v>
      </c>
      <c r="L10" s="15">
        <f t="shared" si="0"/>
        <v>6</v>
      </c>
      <c r="M10" s="15" t="s">
        <v>17</v>
      </c>
      <c r="N10" s="15">
        <f t="shared" si="0"/>
        <v>6</v>
      </c>
      <c r="O10" s="15">
        <f t="shared" si="0"/>
        <v>7</v>
      </c>
      <c r="P10" s="15" t="s">
        <v>18</v>
      </c>
      <c r="Q10" s="15">
        <f t="shared" si="0"/>
        <v>8</v>
      </c>
      <c r="R10" s="15">
        <f t="shared" si="0"/>
        <v>9</v>
      </c>
      <c r="S10" s="15" t="s">
        <v>19</v>
      </c>
      <c r="T10" s="15">
        <f t="shared" si="0"/>
        <v>10</v>
      </c>
      <c r="U10" s="15">
        <f t="shared" si="0"/>
        <v>11</v>
      </c>
      <c r="V10" s="15" t="s">
        <v>20</v>
      </c>
      <c r="W10" s="15">
        <f t="shared" si="0"/>
        <v>12</v>
      </c>
      <c r="X10" s="15">
        <f t="shared" si="0"/>
        <v>13</v>
      </c>
      <c r="Y10" s="15" t="s">
        <v>21</v>
      </c>
      <c r="Z10" s="15">
        <f t="shared" si="0"/>
        <v>14</v>
      </c>
      <c r="AA10" s="15">
        <f t="shared" si="0"/>
        <v>15</v>
      </c>
      <c r="AB10" s="15" t="s">
        <v>22</v>
      </c>
      <c r="AC10" s="15">
        <f t="shared" si="0"/>
        <v>16</v>
      </c>
      <c r="AD10" s="15">
        <f>S10+1</f>
        <v>10</v>
      </c>
      <c r="AE10" s="15">
        <f>T10+1</f>
        <v>11</v>
      </c>
    </row>
    <row r="11" spans="4:31" ht="18.75" customHeight="1">
      <c r="D11" s="16" t="s">
        <v>23</v>
      </c>
      <c r="E11" s="17" t="s">
        <v>24</v>
      </c>
      <c r="F11" s="18" t="s">
        <v>25</v>
      </c>
      <c r="G11" s="19">
        <f>SUM(G12:G16)+SUM(G23:G27)</f>
        <v>1604599.2999999998</v>
      </c>
      <c r="H11" s="19">
        <f t="shared" ref="H11:S11" si="1">SUM(H12:H16)+SUM(H23:H27)</f>
        <v>19861.129999999997</v>
      </c>
      <c r="I11" s="19">
        <f t="shared" si="1"/>
        <v>7562.8715188356891</v>
      </c>
      <c r="J11" s="19">
        <f t="shared" ref="J11" si="2">SUM(J12:J16)+SUM(J23:J27)</f>
        <v>8447.1139999999996</v>
      </c>
      <c r="K11" s="19">
        <f>SUM(K12:K16)+SUM(K23:K27)</f>
        <v>1899689.4253612491</v>
      </c>
      <c r="L11" s="19">
        <f t="shared" si="1"/>
        <v>0</v>
      </c>
      <c r="M11" s="19">
        <f t="shared" si="1"/>
        <v>12382.087297711465</v>
      </c>
      <c r="N11" s="20">
        <f>IF(I11=0,0,M11/I11*100)</f>
        <v>163.72203688603318</v>
      </c>
      <c r="O11" s="19">
        <f t="shared" si="1"/>
        <v>0</v>
      </c>
      <c r="P11" s="19">
        <f t="shared" si="1"/>
        <v>12877.373589619923</v>
      </c>
      <c r="Q11" s="20">
        <f>IF(M11=0,0,P11/M11*100)</f>
        <v>104.00002261331174</v>
      </c>
      <c r="R11" s="19">
        <f t="shared" si="1"/>
        <v>0</v>
      </c>
      <c r="S11" s="19">
        <f t="shared" si="1"/>
        <v>13534.112012690539</v>
      </c>
      <c r="T11" s="20">
        <f>IF(P11=0,0,S11/P11*100)</f>
        <v>105.09994074878742</v>
      </c>
      <c r="U11" s="19">
        <f>SUM(U12:U16)+SUM(U23:U27)</f>
        <v>1603170.5043505142</v>
      </c>
      <c r="V11" s="19">
        <f>SUM(V12:V16)+SUM(V23:V27)</f>
        <v>8351.7155982316726</v>
      </c>
      <c r="W11" s="20">
        <f>IF(I11=0,0,V11/I11*100)</f>
        <v>110.43048367847226</v>
      </c>
      <c r="X11" s="19">
        <f>SUM(X12:X16)+SUM(X23:X27)</f>
        <v>1690414.6424046429</v>
      </c>
      <c r="Y11" s="19">
        <f>SUM(Y12:Y16)+SUM(Y23:Y27)</f>
        <v>8747.7551029291099</v>
      </c>
      <c r="Z11" s="20">
        <f>IF(V11=0,0,Y11/V11*100)</f>
        <v>104.74201378195028</v>
      </c>
      <c r="AA11" s="19">
        <f>SUM(AA12:AA16)+SUM(AA23:AA27)</f>
        <v>0</v>
      </c>
      <c r="AB11" s="19">
        <f>SUM(AB12:AB16)+SUM(AB23:AB27)</f>
        <v>8852.7760704036718</v>
      </c>
      <c r="AC11" s="20">
        <f>AB11/V11*100</f>
        <v>105.99949155689747</v>
      </c>
      <c r="AD11" s="21"/>
      <c r="AE11" s="21"/>
    </row>
    <row r="12" spans="4:31" ht="16.5" customHeight="1">
      <c r="E12" s="17" t="s">
        <v>26</v>
      </c>
      <c r="F12" s="22" t="s">
        <v>27</v>
      </c>
      <c r="G12" s="23">
        <f>'[2]Таблица 5.1'!G11</f>
        <v>330309.87</v>
      </c>
      <c r="H12" s="23">
        <v>5341.5</v>
      </c>
      <c r="I12" s="24">
        <f>'[2]Таблица 5.1'!I11*0.0047</f>
        <v>1435.3332350000001</v>
      </c>
      <c r="J12" s="24">
        <v>1416.653</v>
      </c>
      <c r="K12" s="24">
        <f>'[2]Таблица 5.1'!J11</f>
        <v>262479</v>
      </c>
      <c r="L12" s="24">
        <f>'[2]Таблица 5.1'!K11</f>
        <v>0</v>
      </c>
      <c r="M12" s="24">
        <v>1986.44</v>
      </c>
      <c r="N12" s="25">
        <f t="shared" ref="N12:N71" si="3">IF(I12=0,0,M12/I12*100)</f>
        <v>138.39573637406926</v>
      </c>
      <c r="O12" s="24">
        <f>'[2]Таблица 5.1'!M11</f>
        <v>0</v>
      </c>
      <c r="P12" s="24">
        <v>2065.9</v>
      </c>
      <c r="Q12" s="25">
        <f t="shared" ref="Q12:Q71" si="4">IF(M12=0,0,P12/M12*100)</f>
        <v>104.00012081915386</v>
      </c>
      <c r="R12" s="24">
        <f>'[2]Таблица 5.1'!O11</f>
        <v>0</v>
      </c>
      <c r="S12" s="24">
        <v>2171.2600000000002</v>
      </c>
      <c r="T12" s="25">
        <f t="shared" ref="T12:T71" si="5">IF(P12=0,0,S12/P12*100)</f>
        <v>105.09995643545187</v>
      </c>
      <c r="U12" s="24">
        <f>'[2]Таблица 5.1'!T11</f>
        <v>271165.40000000002</v>
      </c>
      <c r="V12" s="26">
        <f>'[2]Таблица 5.1'!R11*0.006021</f>
        <v>1543.1823000000002</v>
      </c>
      <c r="W12" s="25">
        <f t="shared" ref="W12:W71" si="6">IF(I12=0,0,V12/I12*100)</f>
        <v>107.5138694186232</v>
      </c>
      <c r="X12" s="24">
        <f>'[2]Таблица 5.1'!V11</f>
        <v>285922.15327665</v>
      </c>
      <c r="Y12" s="24">
        <f>V12*1.058</f>
        <v>1632.6868734000002</v>
      </c>
      <c r="Z12" s="20">
        <f>IF(V12=0,0,Y12/V12*100)</f>
        <v>105.80000000000001</v>
      </c>
      <c r="AA12" s="23">
        <f>'[2]Таблица 5.1'!X11</f>
        <v>0</v>
      </c>
      <c r="AB12" s="24">
        <f>V12*1.06</f>
        <v>1635.7732380000002</v>
      </c>
      <c r="AC12" s="20">
        <f t="shared" ref="AC12:AC70" si="7">AB12/V12*100</f>
        <v>106</v>
      </c>
      <c r="AD12" s="21"/>
      <c r="AE12" s="21"/>
    </row>
    <row r="13" spans="4:31" ht="18" customHeight="1">
      <c r="E13" s="17" t="s">
        <v>28</v>
      </c>
      <c r="F13" s="22" t="s">
        <v>29</v>
      </c>
      <c r="G13" s="23">
        <f>'[2]Таблица 5.1'!G12</f>
        <v>457078.79</v>
      </c>
      <c r="H13" s="23">
        <v>4003.4</v>
      </c>
      <c r="I13" s="24">
        <f>'[2]Таблица 5.1'!I12*0.0047</f>
        <v>2226.0974249999999</v>
      </c>
      <c r="J13" s="24">
        <v>2133.02</v>
      </c>
      <c r="K13" s="24">
        <f>'[2]Таблица 5.1'!J12</f>
        <v>483342</v>
      </c>
      <c r="L13" s="24">
        <f>'[2]Таблица 5.1'!K12</f>
        <v>0</v>
      </c>
      <c r="M13" s="24">
        <f>'[2]Таблица 5.1'!L12*0.00602</f>
        <v>2925.68388</v>
      </c>
      <c r="N13" s="25">
        <f t="shared" si="3"/>
        <v>131.42658749537884</v>
      </c>
      <c r="O13" s="24">
        <f>'[2]Таблица 5.1'!M12</f>
        <v>0</v>
      </c>
      <c r="P13" s="24">
        <f>'[2]Таблица 5.1'!N12*0.00602</f>
        <v>3042.7112351999999</v>
      </c>
      <c r="Q13" s="25">
        <f t="shared" si="4"/>
        <v>104</v>
      </c>
      <c r="R13" s="24">
        <f>'[2]Таблица 5.1'!O12</f>
        <v>0</v>
      </c>
      <c r="S13" s="24">
        <f>'[2]Таблица 5.1'!P12*0.00602</f>
        <v>3197.8895081952001</v>
      </c>
      <c r="T13" s="25">
        <f t="shared" si="5"/>
        <v>105.1</v>
      </c>
      <c r="U13" s="24">
        <f>'[2]Таблица 5.1'!T12</f>
        <v>396750</v>
      </c>
      <c r="V13" s="26">
        <f>'[2]Таблица 5.1'!R12*0.0060134</f>
        <v>2255.0250000000001</v>
      </c>
      <c r="W13" s="25">
        <f t="shared" si="6"/>
        <v>101.29947479724524</v>
      </c>
      <c r="X13" s="24">
        <f>'[2]Таблица 5.1'!V12</f>
        <v>418341.03581249993</v>
      </c>
      <c r="Y13" s="24">
        <f>V13*1.058-48.36</f>
        <v>2337.4564500000001</v>
      </c>
      <c r="Z13" s="20">
        <f>IF(V13=0,0,Y13/V13*100)</f>
        <v>103.65545614793628</v>
      </c>
      <c r="AA13" s="23">
        <f>'[2]Таблица 5.1'!X12</f>
        <v>0</v>
      </c>
      <c r="AB13" s="24">
        <f t="shared" ref="AB13:AB27" si="8">V13*1.06</f>
        <v>2390.3265000000001</v>
      </c>
      <c r="AC13" s="20">
        <f t="shared" si="7"/>
        <v>106</v>
      </c>
      <c r="AD13" s="21"/>
      <c r="AE13" s="21"/>
    </row>
    <row r="14" spans="4:31" ht="18" customHeight="1">
      <c r="E14" s="17" t="s">
        <v>30</v>
      </c>
      <c r="F14" s="22" t="s">
        <v>31</v>
      </c>
      <c r="G14" s="23">
        <f>'[2]Таблица 5.1'!G13</f>
        <v>580261.30000000005</v>
      </c>
      <c r="H14" s="23">
        <v>6034.04</v>
      </c>
      <c r="I14" s="24">
        <v>2940.63</v>
      </c>
      <c r="J14" s="24">
        <v>2897.84</v>
      </c>
      <c r="K14" s="24">
        <f>'[2]Таблица 5.1'!J13</f>
        <v>614878.05000000005</v>
      </c>
      <c r="L14" s="24">
        <f>'[2]Таблица 5.1'!K13</f>
        <v>0</v>
      </c>
      <c r="M14" s="24">
        <v>4043.49</v>
      </c>
      <c r="N14" s="25">
        <f t="shared" si="3"/>
        <v>137.50420828189874</v>
      </c>
      <c r="O14" s="24">
        <f>'[2]Таблица 5.1'!M13</f>
        <v>0</v>
      </c>
      <c r="P14" s="24">
        <v>4205.2299999999996</v>
      </c>
      <c r="Q14" s="25">
        <f t="shared" si="4"/>
        <v>104.0000098924444</v>
      </c>
      <c r="R14" s="24">
        <f>'[2]Таблица 5.1'!O13</f>
        <v>0</v>
      </c>
      <c r="S14" s="24">
        <v>4419.6899999999996</v>
      </c>
      <c r="T14" s="25">
        <f t="shared" si="5"/>
        <v>105.09983996119119</v>
      </c>
      <c r="U14" s="24">
        <f>'[2]Таблица 5.1'!T13</f>
        <v>661022.95105183683</v>
      </c>
      <c r="V14" s="26">
        <f>'[2]Таблица 5.1'!R13*0.005283</f>
        <v>3300.7412574733971</v>
      </c>
      <c r="W14" s="25">
        <f t="shared" si="6"/>
        <v>112.24605807168521</v>
      </c>
      <c r="X14" s="24">
        <f>'[2]Таблица 5.1'!V13</f>
        <v>696995.65479233989</v>
      </c>
      <c r="Y14" s="24">
        <f>V14*1.058</f>
        <v>3492.1842504068545</v>
      </c>
      <c r="Z14" s="20">
        <f>IF(V14=0,0,Y14/V14*100)</f>
        <v>105.80000000000001</v>
      </c>
      <c r="AA14" s="23">
        <f>'[2]Таблица 5.1'!X13</f>
        <v>0</v>
      </c>
      <c r="AB14" s="24">
        <f t="shared" si="8"/>
        <v>3498.7857329218014</v>
      </c>
      <c r="AC14" s="20">
        <f t="shared" si="7"/>
        <v>106</v>
      </c>
      <c r="AD14" s="21"/>
      <c r="AE14" s="21"/>
    </row>
    <row r="15" spans="4:31" ht="26.25" customHeight="1">
      <c r="E15" s="17" t="s">
        <v>32</v>
      </c>
      <c r="F15" s="22" t="s">
        <v>33</v>
      </c>
      <c r="G15" s="23">
        <f>'[2]Таблица 5.1'!G14</f>
        <v>113278.45</v>
      </c>
      <c r="H15" s="23">
        <v>1758.3</v>
      </c>
      <c r="I15" s="24">
        <f>'[2]Таблица 5.1'!I14*0.0047</f>
        <v>433.12021083568914</v>
      </c>
      <c r="J15" s="24">
        <v>864.16</v>
      </c>
      <c r="K15" s="24">
        <f>'[2]Таблица 5.1'!J14</f>
        <v>114841.79336124897</v>
      </c>
      <c r="L15" s="24">
        <f>'[2]Таблица 5.1'!K14</f>
        <v>0</v>
      </c>
      <c r="M15" s="24">
        <f>'[2]Таблица 5.1'!L14*0.00602</f>
        <v>759.09569771146334</v>
      </c>
      <c r="N15" s="25">
        <f t="shared" si="3"/>
        <v>175.26212786210479</v>
      </c>
      <c r="O15" s="24">
        <f>'[2]Таблица 5.1'!M14</f>
        <v>0</v>
      </c>
      <c r="P15" s="24">
        <f>'[2]Таблица 5.1'!N14*0.00602</f>
        <v>789.45952561992181</v>
      </c>
      <c r="Q15" s="25">
        <f t="shared" si="4"/>
        <v>103.99999999999999</v>
      </c>
      <c r="R15" s="24">
        <f>'[2]Таблица 5.1'!O14</f>
        <v>0</v>
      </c>
      <c r="S15" s="24">
        <f>'[2]Таблица 5.1'!P14*0.00602</f>
        <v>829.72196142653775</v>
      </c>
      <c r="T15" s="25">
        <f t="shared" si="5"/>
        <v>105.1</v>
      </c>
      <c r="U15" s="24">
        <f>'[2]Таблица 5.1'!T14</f>
        <v>93489.889553237532</v>
      </c>
      <c r="V15" s="26">
        <f>'[2]Таблица 5.1'!R14*0.006-99.6</f>
        <v>430.58840956467407</v>
      </c>
      <c r="W15" s="25">
        <f t="shared" si="6"/>
        <v>99.415450674506729</v>
      </c>
      <c r="X15" s="24">
        <f>'[2]Таблица 5.1'!V14</f>
        <v>98577.585970252316</v>
      </c>
      <c r="Y15" s="24">
        <f>V15*1.058</f>
        <v>455.56253731942519</v>
      </c>
      <c r="Z15" s="20">
        <f>IF(V15=0,0,Y15/V15*100)</f>
        <v>105.80000000000001</v>
      </c>
      <c r="AA15" s="23">
        <f>'[2]Таблица 5.1'!X14</f>
        <v>0</v>
      </c>
      <c r="AB15" s="24">
        <f t="shared" si="8"/>
        <v>456.42371413855454</v>
      </c>
      <c r="AC15" s="20">
        <f t="shared" si="7"/>
        <v>106</v>
      </c>
      <c r="AD15" s="21"/>
      <c r="AE15" s="21"/>
    </row>
    <row r="16" spans="4:31" ht="25.5" customHeight="1">
      <c r="E16" s="17" t="s">
        <v>34</v>
      </c>
      <c r="F16" s="22" t="s">
        <v>35</v>
      </c>
      <c r="G16" s="23">
        <f>'[2]Таблица 5.1'!G15</f>
        <v>98059.39</v>
      </c>
      <c r="H16" s="23">
        <v>881.87</v>
      </c>
      <c r="I16" s="24">
        <v>429.17</v>
      </c>
      <c r="J16" s="24">
        <v>822.32</v>
      </c>
      <c r="K16" s="24">
        <f>'[2]Таблица 5.1'!J15</f>
        <v>401613.65100000007</v>
      </c>
      <c r="L16" s="24">
        <f>'[2]Таблица 5.1'!K15</f>
        <v>0</v>
      </c>
      <c r="M16" s="24">
        <f>'[2]Таблица 5.1'!L15*0.00602</f>
        <v>2525.6425028800004</v>
      </c>
      <c r="N16" s="25">
        <f t="shared" si="3"/>
        <v>588.49465313978146</v>
      </c>
      <c r="O16" s="24">
        <f>'[2]Таблица 5.1'!M15</f>
        <v>0</v>
      </c>
      <c r="P16" s="24">
        <f>'[2]Таблица 5.1'!N15*0.00602</f>
        <v>2626.6682029952003</v>
      </c>
      <c r="Q16" s="25">
        <f t="shared" si="4"/>
        <v>104</v>
      </c>
      <c r="R16" s="24">
        <f>'[2]Таблица 5.1'!O15</f>
        <v>0</v>
      </c>
      <c r="S16" s="24">
        <f>'[2]Таблица 5.1'!P15*0.00602</f>
        <v>2760.6282813479552</v>
      </c>
      <c r="T16" s="25">
        <f t="shared" si="5"/>
        <v>105.1</v>
      </c>
      <c r="U16" s="24">
        <f>'[2]Таблица 5.1'!T15</f>
        <v>156269.44779744002</v>
      </c>
      <c r="V16" s="26">
        <f>'[2]Таблица 5.1'!R15*0.00602-170.38</f>
        <v>718.79020391360018</v>
      </c>
      <c r="W16" s="25">
        <f t="shared" si="6"/>
        <v>167.48379521252653</v>
      </c>
      <c r="X16" s="24">
        <f>'[2]Таблица 5.1'!V15</f>
        <v>164773.59207921472</v>
      </c>
      <c r="Y16" s="24">
        <f>V16*1.058-40</f>
        <v>720.48003574058907</v>
      </c>
      <c r="Z16" s="20">
        <f t="shared" ref="Z16:Z70" si="9">IF(V16=0,0,Y16/V16*100)</f>
        <v>100.23509388661506</v>
      </c>
      <c r="AA16" s="23">
        <f>'[2]Таблица 5.1'!X15</f>
        <v>0</v>
      </c>
      <c r="AB16" s="24">
        <f>AB17+AB18+AB19+AB20+AB21+AB22</f>
        <v>761.87515242651614</v>
      </c>
      <c r="AC16" s="20">
        <f t="shared" si="7"/>
        <v>105.99409233436003</v>
      </c>
      <c r="AD16" s="21"/>
      <c r="AE16" s="21"/>
    </row>
    <row r="17" spans="4:31" ht="14.25" customHeight="1">
      <c r="E17" s="17" t="s">
        <v>36</v>
      </c>
      <c r="F17" s="27" t="s">
        <v>37</v>
      </c>
      <c r="G17" s="23">
        <f>'[2]Таблица 5.1'!G16</f>
        <v>2938.58</v>
      </c>
      <c r="H17" s="23">
        <v>15.49</v>
      </c>
      <c r="I17" s="24">
        <f>'[2]Таблица 5.1'!I16*0.0047</f>
        <v>12.019027999999999</v>
      </c>
      <c r="J17" s="24">
        <v>13.834</v>
      </c>
      <c r="K17" s="24">
        <f>'[2]Таблица 5.1'!J16</f>
        <v>2933.94</v>
      </c>
      <c r="L17" s="24">
        <f>'[2]Таблица 5.1'!K16</f>
        <v>0</v>
      </c>
      <c r="M17" s="24">
        <f>'[2]Таблица 5.1'!L16*0.00602</f>
        <v>20.54876432</v>
      </c>
      <c r="N17" s="25">
        <f t="shared" si="3"/>
        <v>170.96860345112768</v>
      </c>
      <c r="O17" s="24">
        <f>'[2]Таблица 5.1'!M16</f>
        <v>0</v>
      </c>
      <c r="P17" s="24">
        <f>'[2]Таблица 5.1'!N16*0.00602</f>
        <v>21.370714892800002</v>
      </c>
      <c r="Q17" s="25">
        <f t="shared" si="4"/>
        <v>104</v>
      </c>
      <c r="R17" s="24">
        <f>'[2]Таблица 5.1'!O16</f>
        <v>0</v>
      </c>
      <c r="S17" s="24">
        <f>'[2]Таблица 5.1'!P16*0.00602</f>
        <v>22.460621352332804</v>
      </c>
      <c r="T17" s="25">
        <f t="shared" si="5"/>
        <v>105.10000000000002</v>
      </c>
      <c r="U17" s="24">
        <f>'[2]Таблица 5.1'!T16</f>
        <v>3333.8125504800005</v>
      </c>
      <c r="V17" s="26">
        <f>'[2]Таблица 5.1'!R16*0.00602-3.5</f>
        <v>15.469330391200003</v>
      </c>
      <c r="W17" s="25">
        <f t="shared" si="6"/>
        <v>128.7070001933601</v>
      </c>
      <c r="X17" s="24">
        <f>'[2]Таблица 5.1'!V16</f>
        <v>3515.2377960239837</v>
      </c>
      <c r="Y17" s="24">
        <f>V17*1.058</f>
        <v>16.366551553889604</v>
      </c>
      <c r="Z17" s="20">
        <f t="shared" si="9"/>
        <v>105.80000000000001</v>
      </c>
      <c r="AA17" s="23">
        <f>'[2]Таблица 5.1'!X16</f>
        <v>0</v>
      </c>
      <c r="AB17" s="24">
        <f t="shared" si="8"/>
        <v>16.397490214672004</v>
      </c>
      <c r="AC17" s="20">
        <f t="shared" si="7"/>
        <v>106</v>
      </c>
      <c r="AD17" s="21"/>
      <c r="AE17" s="21"/>
    </row>
    <row r="18" spans="4:31" ht="14.25" customHeight="1">
      <c r="E18" s="17" t="s">
        <v>38</v>
      </c>
      <c r="F18" s="27" t="s">
        <v>39</v>
      </c>
      <c r="G18" s="23">
        <f>'[2]Таблица 5.1'!G17</f>
        <v>56281.33</v>
      </c>
      <c r="H18" s="23">
        <v>349</v>
      </c>
      <c r="I18" s="24">
        <v>191.46</v>
      </c>
      <c r="J18" s="24">
        <v>367.53800000000001</v>
      </c>
      <c r="K18" s="24">
        <f>'[2]Таблица 5.1'!J17</f>
        <v>69637.937000000005</v>
      </c>
      <c r="L18" s="24">
        <f>'[2]Таблица 5.1'!K17</f>
        <v>0</v>
      </c>
      <c r="M18" s="24">
        <f>'[2]Таблица 5.1'!L17*0.00602</f>
        <v>438.08529687999999</v>
      </c>
      <c r="N18" s="25">
        <f t="shared" si="3"/>
        <v>228.81296191371564</v>
      </c>
      <c r="O18" s="24">
        <f>'[2]Таблица 5.1'!M17</f>
        <v>0</v>
      </c>
      <c r="P18" s="24">
        <f>'[2]Таблица 5.1'!N17*0.00602</f>
        <v>455.60870875520004</v>
      </c>
      <c r="Q18" s="25">
        <f t="shared" si="4"/>
        <v>104</v>
      </c>
      <c r="R18" s="24">
        <f>'[2]Таблица 5.1'!O17</f>
        <v>0</v>
      </c>
      <c r="S18" s="24">
        <f>'[2]Таблица 5.1'!P17*0.00602</f>
        <v>478.8447529017152</v>
      </c>
      <c r="T18" s="25">
        <f t="shared" si="5"/>
        <v>105.1</v>
      </c>
      <c r="U18" s="24">
        <f>'[2]Таблица 5.1'!T17</f>
        <v>64114.571598960007</v>
      </c>
      <c r="V18" s="26">
        <f>'[2]Таблица 5.1'!R17*0.00492</f>
        <v>298.15093787040001</v>
      </c>
      <c r="W18" s="25">
        <f t="shared" si="6"/>
        <v>155.72492315387026</v>
      </c>
      <c r="X18" s="24">
        <f>'[2]Таблица 5.1'!V17</f>
        <v>67603.670556732497</v>
      </c>
      <c r="Y18" s="24">
        <f>V18*1.058</f>
        <v>315.4436922668832</v>
      </c>
      <c r="Z18" s="20">
        <f t="shared" si="9"/>
        <v>105.80000000000001</v>
      </c>
      <c r="AA18" s="23">
        <f>'[2]Таблица 5.1'!X17</f>
        <v>0</v>
      </c>
      <c r="AB18" s="24">
        <f t="shared" si="8"/>
        <v>316.03999414262404</v>
      </c>
      <c r="AC18" s="20">
        <f t="shared" si="7"/>
        <v>106</v>
      </c>
      <c r="AD18" s="21"/>
      <c r="AE18" s="21"/>
    </row>
    <row r="19" spans="4:31" ht="14.25" customHeight="1">
      <c r="E19" s="17" t="s">
        <v>40</v>
      </c>
      <c r="F19" s="27" t="s">
        <v>41</v>
      </c>
      <c r="G19" s="23">
        <f>'[2]Таблица 5.1'!G18</f>
        <v>6334.36</v>
      </c>
      <c r="H19" s="23">
        <v>235.89</v>
      </c>
      <c r="I19" s="24">
        <v>145</v>
      </c>
      <c r="J19" s="24">
        <v>253.715</v>
      </c>
      <c r="K19" s="24">
        <f>'[2]Таблица 5.1'!J18</f>
        <v>46201.512999999999</v>
      </c>
      <c r="L19" s="24">
        <f>'[2]Таблица 5.1'!K18</f>
        <v>0</v>
      </c>
      <c r="M19" s="24">
        <f>'[2]Таблица 5.1'!L18*0.00602</f>
        <v>290.87418542</v>
      </c>
      <c r="N19" s="25">
        <f t="shared" si="3"/>
        <v>200.60288649655172</v>
      </c>
      <c r="O19" s="24">
        <f>'[2]Таблица 5.1'!M18</f>
        <v>0</v>
      </c>
      <c r="P19" s="24">
        <f>'[2]Таблица 5.1'!N18*0.00602</f>
        <v>302.50915283680001</v>
      </c>
      <c r="Q19" s="25">
        <f t="shared" si="4"/>
        <v>104</v>
      </c>
      <c r="R19" s="24">
        <f>'[2]Таблица 5.1'!O18</f>
        <v>0</v>
      </c>
      <c r="S19" s="24">
        <f>'[2]Таблица 5.1'!P18*0.00602</f>
        <v>317.93711963147678</v>
      </c>
      <c r="T19" s="25">
        <f t="shared" si="5"/>
        <v>105.1</v>
      </c>
      <c r="U19" s="24">
        <f>'[2]Таблица 5.1'!T18</f>
        <v>51120.413317999999</v>
      </c>
      <c r="V19" s="26">
        <f>'[2]Таблица 5.1'!R18*0.004897</f>
        <v>236.61310398700002</v>
      </c>
      <c r="W19" s="25">
        <f t="shared" si="6"/>
        <v>163.18145102551725</v>
      </c>
      <c r="X19" s="24">
        <f>'[2]Таблица 5.1'!V18</f>
        <v>53902.373430662228</v>
      </c>
      <c r="Y19" s="24">
        <f>V19*1.058</f>
        <v>250.33666401824604</v>
      </c>
      <c r="Z19" s="20">
        <f t="shared" si="9"/>
        <v>105.80000000000001</v>
      </c>
      <c r="AA19" s="23">
        <f>'[2]Таблица 5.1'!X18</f>
        <v>0</v>
      </c>
      <c r="AB19" s="24">
        <f t="shared" si="8"/>
        <v>250.80989022622003</v>
      </c>
      <c r="AC19" s="20">
        <f t="shared" si="7"/>
        <v>106</v>
      </c>
      <c r="AD19" s="21"/>
      <c r="AE19" s="21"/>
    </row>
    <row r="20" spans="4:31" ht="23.25" customHeight="1">
      <c r="E20" s="17" t="s">
        <v>42</v>
      </c>
      <c r="F20" s="27" t="s">
        <v>43</v>
      </c>
      <c r="G20" s="23">
        <f>'[2]Таблица 5.1'!G19</f>
        <v>4750</v>
      </c>
      <c r="H20" s="23">
        <v>172</v>
      </c>
      <c r="I20" s="24">
        <v>30.69</v>
      </c>
      <c r="J20" s="24">
        <v>147.75200000000001</v>
      </c>
      <c r="K20" s="24">
        <f>'[2]Таблица 5.1'!J19</f>
        <v>6128.91</v>
      </c>
      <c r="L20" s="24">
        <f>'[2]Таблица 5.1'!K19</f>
        <v>0</v>
      </c>
      <c r="M20" s="24">
        <f>'[2]Таблица 5.1'!L19*0.00602</f>
        <v>38.777769800000002</v>
      </c>
      <c r="N20" s="25">
        <f t="shared" si="3"/>
        <v>126.35311111111112</v>
      </c>
      <c r="O20" s="24">
        <f>'[2]Таблица 5.1'!M19</f>
        <v>0</v>
      </c>
      <c r="P20" s="24">
        <f>'[2]Таблица 5.1'!N19*0.00602</f>
        <v>40.328880591999997</v>
      </c>
      <c r="Q20" s="25">
        <f t="shared" si="4"/>
        <v>103.99999999999999</v>
      </c>
      <c r="R20" s="24">
        <f>'[2]Таблица 5.1'!O19</f>
        <v>0</v>
      </c>
      <c r="S20" s="24">
        <f>'[2]Таблица 5.1'!P19*0.00602</f>
        <v>42.385653502191992</v>
      </c>
      <c r="T20" s="25">
        <f t="shared" si="5"/>
        <v>105.1</v>
      </c>
      <c r="U20" s="24">
        <f>'[2]Таблица 5.1'!T19</f>
        <v>6815.0964199999999</v>
      </c>
      <c r="V20" s="26">
        <f>'[2]Таблица 5.1'!R19*0.004</f>
        <v>25.76596</v>
      </c>
      <c r="W20" s="25">
        <f t="shared" si="6"/>
        <v>83.955555555555549</v>
      </c>
      <c r="X20" s="24">
        <f>'[2]Таблица 5.1'!V19</f>
        <v>7185.9722634022937</v>
      </c>
      <c r="Y20" s="24">
        <f>V20*1.058</f>
        <v>27.260385680000002</v>
      </c>
      <c r="Z20" s="20">
        <f t="shared" si="9"/>
        <v>105.80000000000001</v>
      </c>
      <c r="AA20" s="23">
        <f>'[2]Таблица 5.1'!X19</f>
        <v>0</v>
      </c>
      <c r="AB20" s="24">
        <f t="shared" si="8"/>
        <v>27.311917600000001</v>
      </c>
      <c r="AC20" s="20">
        <f t="shared" si="7"/>
        <v>106</v>
      </c>
      <c r="AD20" s="21"/>
      <c r="AE20" s="21"/>
    </row>
    <row r="21" spans="4:31" ht="15.75" customHeight="1">
      <c r="E21" s="17" t="s">
        <v>44</v>
      </c>
      <c r="F21" s="27" t="s">
        <v>45</v>
      </c>
      <c r="G21" s="23">
        <f>'[2]Таблица 5.1'!G20</f>
        <v>0</v>
      </c>
      <c r="H21" s="23">
        <v>0</v>
      </c>
      <c r="I21" s="24">
        <f>'[2]Таблица 5.1'!I20</f>
        <v>0</v>
      </c>
      <c r="J21" s="24">
        <v>0</v>
      </c>
      <c r="K21" s="24">
        <f>'[2]Таблица 5.1'!J20</f>
        <v>243076.14</v>
      </c>
      <c r="L21" s="24">
        <f>'[2]Таблица 5.1'!K20</f>
        <v>0</v>
      </c>
      <c r="M21" s="24">
        <f>'[2]Таблица 5.1'!L20*0.00602</f>
        <v>1537.9474600000001</v>
      </c>
      <c r="N21" s="25">
        <f t="shared" si="3"/>
        <v>0</v>
      </c>
      <c r="O21" s="24">
        <f>'[2]Таблица 5.1'!M20</f>
        <v>0</v>
      </c>
      <c r="P21" s="24">
        <f>'[2]Таблица 5.1'!N20*0.00602</f>
        <v>1599.4653584</v>
      </c>
      <c r="Q21" s="25">
        <f t="shared" si="4"/>
        <v>104</v>
      </c>
      <c r="R21" s="24">
        <f>'[2]Таблица 5.1'!O20</f>
        <v>0</v>
      </c>
      <c r="S21" s="24">
        <f>'[2]Таблица 5.1'!P20*0.00602</f>
        <v>1681.0380916783997</v>
      </c>
      <c r="T21" s="25">
        <f t="shared" si="5"/>
        <v>105.09999999999997</v>
      </c>
      <c r="U21" s="24">
        <f>'[2]Таблица 5.1'!T20</f>
        <v>0</v>
      </c>
      <c r="V21" s="26">
        <f>'[2]Таблица 5.1'!R20*0.00602</f>
        <v>0</v>
      </c>
      <c r="W21" s="25">
        <f t="shared" si="6"/>
        <v>0</v>
      </c>
      <c r="X21" s="24">
        <f>'[2]Таблица 5.1'!V20</f>
        <v>0</v>
      </c>
      <c r="Y21" s="24">
        <f>'[2]Таблица 5.1'!T20*0.00602</f>
        <v>0</v>
      </c>
      <c r="Z21" s="20">
        <f t="shared" si="9"/>
        <v>0</v>
      </c>
      <c r="AA21" s="23">
        <f>'[2]Таблица 5.1'!X20</f>
        <v>0</v>
      </c>
      <c r="AB21" s="24">
        <f t="shared" si="8"/>
        <v>0</v>
      </c>
      <c r="AC21" s="20"/>
      <c r="AD21" s="21"/>
      <c r="AE21" s="21"/>
    </row>
    <row r="22" spans="4:31" ht="18" customHeight="1">
      <c r="E22" s="17" t="s">
        <v>46</v>
      </c>
      <c r="F22" s="27" t="s">
        <v>47</v>
      </c>
      <c r="G22" s="23">
        <f>'[2]Таблица 5.1'!G21</f>
        <v>27755.119999999999</v>
      </c>
      <c r="H22" s="23">
        <v>109.5</v>
      </c>
      <c r="I22" s="24">
        <v>50</v>
      </c>
      <c r="J22" s="24">
        <v>39.479999999999997</v>
      </c>
      <c r="K22" s="24">
        <f>'[2]Таблица 5.1'!J21</f>
        <v>33635.210999999996</v>
      </c>
      <c r="L22" s="24">
        <f>'[2]Таблица 5.1'!K21</f>
        <v>0</v>
      </c>
      <c r="M22" s="24">
        <f>'[2]Таблица 5.1'!L21*0.00602</f>
        <v>199.40902646000001</v>
      </c>
      <c r="N22" s="25">
        <f t="shared" si="3"/>
        <v>398.81805292000001</v>
      </c>
      <c r="O22" s="24">
        <f>'[2]Таблица 5.1'!M21</f>
        <v>0</v>
      </c>
      <c r="P22" s="24">
        <f>'[2]Таблица 5.1'!N21*0.00602</f>
        <v>207.38538751840002</v>
      </c>
      <c r="Q22" s="25">
        <f t="shared" si="4"/>
        <v>104</v>
      </c>
      <c r="R22" s="24">
        <f>'[2]Таблица 5.1'!O21</f>
        <v>0</v>
      </c>
      <c r="S22" s="24">
        <f>'[2]Таблица 5.1'!P21*0.00602</f>
        <v>217.96204228183842</v>
      </c>
      <c r="T22" s="25">
        <f t="shared" si="5"/>
        <v>105.1</v>
      </c>
      <c r="U22" s="24">
        <f>'[2]Таблица 5.1'!T21</f>
        <v>30885.553910000002</v>
      </c>
      <c r="V22" s="26">
        <f>'[2]Таблица 5.1'!R21*0.00489</f>
        <v>142.75081155000001</v>
      </c>
      <c r="W22" s="25">
        <f t="shared" si="6"/>
        <v>285.50162310000002</v>
      </c>
      <c r="X22" s="24">
        <f>'[2]Таблица 5.1'!V21</f>
        <v>32566.338032393724</v>
      </c>
      <c r="Y22" s="24">
        <f>V22*1.058</f>
        <v>151.03035861990003</v>
      </c>
      <c r="Z22" s="20">
        <f t="shared" si="9"/>
        <v>105.80000000000001</v>
      </c>
      <c r="AA22" s="23">
        <f>'[2]Таблица 5.1'!X21</f>
        <v>0</v>
      </c>
      <c r="AB22" s="24">
        <f t="shared" si="8"/>
        <v>151.315860243</v>
      </c>
      <c r="AC22" s="20">
        <f t="shared" si="7"/>
        <v>106</v>
      </c>
      <c r="AD22" s="21"/>
      <c r="AE22" s="21"/>
    </row>
    <row r="23" spans="4:31">
      <c r="E23" s="17" t="s">
        <v>48</v>
      </c>
      <c r="F23" s="22" t="s">
        <v>49</v>
      </c>
      <c r="G23" s="23">
        <f>'[2]Таблица 5.1'!G22</f>
        <v>5441.3</v>
      </c>
      <c r="H23" s="23">
        <v>46.02</v>
      </c>
      <c r="I23" s="24">
        <f>'[2]Таблица 5.1'!I22*0.0047</f>
        <v>16.200571</v>
      </c>
      <c r="J23" s="24">
        <v>38.630000000000003</v>
      </c>
      <c r="K23" s="24">
        <f>'[2]Таблица 5.1'!J22</f>
        <v>3621</v>
      </c>
      <c r="L23" s="24">
        <f>'[2]Таблица 5.1'!K22</f>
        <v>0</v>
      </c>
      <c r="M23" s="24">
        <f>'[2]Таблица 5.1'!L22*0.00602</f>
        <v>22.779679999999999</v>
      </c>
      <c r="N23" s="25">
        <f t="shared" si="3"/>
        <v>140.61035256103008</v>
      </c>
      <c r="O23" s="24">
        <f>'[2]Таблица 5.1'!M22</f>
        <v>0</v>
      </c>
      <c r="P23" s="24">
        <f>'[2]Таблица 5.1'!N22*0.00602</f>
        <v>23.690867200000003</v>
      </c>
      <c r="Q23" s="25">
        <f t="shared" si="4"/>
        <v>104.00000000000003</v>
      </c>
      <c r="R23" s="24">
        <f>'[2]Таблица 5.1'!O22</f>
        <v>0</v>
      </c>
      <c r="S23" s="24">
        <f>'[2]Таблица 5.1'!P22*0.00602</f>
        <v>24.899101427200002</v>
      </c>
      <c r="T23" s="25">
        <f t="shared" si="5"/>
        <v>105.1</v>
      </c>
      <c r="U23" s="24">
        <f>'[2]Таблица 5.1'!T22</f>
        <v>4003.4720000000002</v>
      </c>
      <c r="V23" s="26">
        <f>'[2]Таблица 5.1'!R22*0.00491</f>
        <v>18.579440000000002</v>
      </c>
      <c r="W23" s="25">
        <f t="shared" si="6"/>
        <v>114.68385898250131</v>
      </c>
      <c r="X23" s="24">
        <f>'[2]Таблица 5.1'!V22</f>
        <v>4221.3399453719994</v>
      </c>
      <c r="Y23" s="24">
        <f t="shared" ref="Y23:Y27" si="10">V23*1.058</f>
        <v>19.657047520000003</v>
      </c>
      <c r="Z23" s="20">
        <f t="shared" si="9"/>
        <v>105.80000000000001</v>
      </c>
      <c r="AA23" s="23">
        <f>'[2]Таблица 5.1'!X22</f>
        <v>0</v>
      </c>
      <c r="AB23" s="24">
        <f t="shared" si="8"/>
        <v>19.694206400000002</v>
      </c>
      <c r="AC23" s="20">
        <f t="shared" si="7"/>
        <v>106</v>
      </c>
      <c r="AD23" s="21"/>
      <c r="AE23" s="21"/>
    </row>
    <row r="24" spans="4:31">
      <c r="E24" s="17" t="s">
        <v>50</v>
      </c>
      <c r="F24" s="22" t="s">
        <v>51</v>
      </c>
      <c r="G24" s="23">
        <f>'[2]Таблица 5.1'!G23</f>
        <v>3547.94</v>
      </c>
      <c r="H24" s="23">
        <v>20.8</v>
      </c>
      <c r="I24" s="24">
        <f>'[2]Таблица 5.1'!I23*0.0047</f>
        <v>12.48132</v>
      </c>
      <c r="J24" s="24">
        <v>88.4</v>
      </c>
      <c r="K24" s="24">
        <f>'[2]Таблица 5.1'!J23</f>
        <v>4591.6000000000004</v>
      </c>
      <c r="L24" s="24">
        <f>'[2]Таблица 5.1'!K23</f>
        <v>0</v>
      </c>
      <c r="M24" s="24">
        <f>'[2]Таблица 5.1'!L23*0.00602</f>
        <v>28.794093440000001</v>
      </c>
      <c r="N24" s="25">
        <f t="shared" si="3"/>
        <v>230.69750186678974</v>
      </c>
      <c r="O24" s="24">
        <f>'[2]Таблица 5.1'!M23</f>
        <v>0</v>
      </c>
      <c r="P24" s="24">
        <f>'[2]Таблица 5.1'!N23*0.00602</f>
        <v>29.945857177600004</v>
      </c>
      <c r="Q24" s="25">
        <f t="shared" si="4"/>
        <v>104</v>
      </c>
      <c r="R24" s="24">
        <f>'[2]Таблица 5.1'!O23</f>
        <v>0</v>
      </c>
      <c r="S24" s="24">
        <f>'[2]Таблица 5.1'!P23*0.00602</f>
        <v>31.473095893657604</v>
      </c>
      <c r="T24" s="25">
        <f t="shared" si="5"/>
        <v>105.1</v>
      </c>
      <c r="U24" s="24">
        <f>'[2]Таблица 5.1'!T23</f>
        <v>5060.4901760000002</v>
      </c>
      <c r="V24" s="26">
        <f>'[2]Таблица 5.1'!R23*0.00275</f>
        <v>13.153447999999999</v>
      </c>
      <c r="W24" s="25">
        <f t="shared" si="6"/>
        <v>105.38507145077602</v>
      </c>
      <c r="X24" s="24">
        <f>'[2]Таблица 5.1'!V23</f>
        <v>5335.8807862553758</v>
      </c>
      <c r="Y24" s="24">
        <f t="shared" si="10"/>
        <v>13.916347984</v>
      </c>
      <c r="Z24" s="20">
        <f t="shared" si="9"/>
        <v>105.80000000000001</v>
      </c>
      <c r="AA24" s="23">
        <f>'[2]Таблица 5.1'!X23</f>
        <v>0</v>
      </c>
      <c r="AB24" s="24">
        <f t="shared" si="8"/>
        <v>13.942654879999999</v>
      </c>
      <c r="AC24" s="20">
        <f t="shared" si="7"/>
        <v>106</v>
      </c>
      <c r="AD24" s="21"/>
      <c r="AE24" s="21"/>
    </row>
    <row r="25" spans="4:31">
      <c r="E25" s="17" t="s">
        <v>52</v>
      </c>
      <c r="F25" s="22" t="s">
        <v>53</v>
      </c>
      <c r="G25" s="23">
        <f>'[2]Таблица 5.1'!G24</f>
        <v>0</v>
      </c>
      <c r="H25" s="23">
        <v>465</v>
      </c>
      <c r="I25" s="24">
        <f>'[2]Таблица 5.1'!I24</f>
        <v>0</v>
      </c>
      <c r="J25" s="24">
        <v>81.77</v>
      </c>
      <c r="K25" s="24">
        <f>'[2]Таблица 5.1'!J24</f>
        <v>0</v>
      </c>
      <c r="L25" s="24">
        <f>'[2]Таблица 5.1'!K24</f>
        <v>0</v>
      </c>
      <c r="M25" s="24">
        <f>'[2]Таблица 5.1'!L24</f>
        <v>0</v>
      </c>
      <c r="N25" s="25">
        <f t="shared" si="3"/>
        <v>0</v>
      </c>
      <c r="O25" s="24">
        <f>'[2]Таблица 5.1'!M24</f>
        <v>0</v>
      </c>
      <c r="P25" s="24">
        <f>'[2]Таблица 5.1'!N24*0.00602</f>
        <v>0</v>
      </c>
      <c r="Q25" s="25">
        <f t="shared" si="4"/>
        <v>0</v>
      </c>
      <c r="R25" s="24">
        <f>'[2]Таблица 5.1'!O24</f>
        <v>0</v>
      </c>
      <c r="S25" s="24">
        <f>'[2]Таблица 5.1'!P24*0.00602</f>
        <v>0</v>
      </c>
      <c r="T25" s="25">
        <f t="shared" si="5"/>
        <v>0</v>
      </c>
      <c r="U25" s="24">
        <f>'[2]Таблица 5.1'!T24</f>
        <v>0</v>
      </c>
      <c r="V25" s="26">
        <f>'[2]Таблица 5.1'!R24*0.00602</f>
        <v>0</v>
      </c>
      <c r="W25" s="25">
        <f t="shared" si="6"/>
        <v>0</v>
      </c>
      <c r="X25" s="24">
        <f>'[2]Таблица 5.1'!V24</f>
        <v>0</v>
      </c>
      <c r="Y25" s="24">
        <f t="shared" si="10"/>
        <v>0</v>
      </c>
      <c r="Z25" s="20">
        <f t="shared" si="9"/>
        <v>0</v>
      </c>
      <c r="AA25" s="23">
        <f>'[2]Таблица 5.1'!X24</f>
        <v>0</v>
      </c>
      <c r="AB25" s="24">
        <f t="shared" si="8"/>
        <v>0</v>
      </c>
      <c r="AC25" s="20"/>
      <c r="AD25" s="21"/>
      <c r="AE25" s="21"/>
    </row>
    <row r="26" spans="4:31">
      <c r="E26" s="17" t="s">
        <v>54</v>
      </c>
      <c r="F26" s="22" t="s">
        <v>55</v>
      </c>
      <c r="G26" s="23">
        <f>'[2]Таблица 5.1'!G25</f>
        <v>6199.06</v>
      </c>
      <c r="H26" s="23">
        <v>38</v>
      </c>
      <c r="I26" s="24">
        <f>'[2]Таблица 5.1'!I25*0.0047</f>
        <v>31.504617</v>
      </c>
      <c r="J26" s="24">
        <v>30.221</v>
      </c>
      <c r="K26" s="24">
        <f>'[2]Таблица 5.1'!J25</f>
        <v>7224.1310000000003</v>
      </c>
      <c r="L26" s="24">
        <f>'[2]Таблица 5.1'!K25</f>
        <v>0</v>
      </c>
      <c r="M26" s="24">
        <f>'[2]Таблица 5.1'!L25*0.00602</f>
        <v>45.50938798</v>
      </c>
      <c r="N26" s="25">
        <f t="shared" si="3"/>
        <v>144.45307486201148</v>
      </c>
      <c r="O26" s="24">
        <f>'[2]Таблица 5.1'!M25</f>
        <v>0</v>
      </c>
      <c r="P26" s="24">
        <f>'[2]Таблица 5.1'!N25*0.00602</f>
        <v>47.329763499199998</v>
      </c>
      <c r="Q26" s="25">
        <f t="shared" si="4"/>
        <v>104</v>
      </c>
      <c r="R26" s="24">
        <f>'[2]Таблица 5.1'!O25</f>
        <v>0</v>
      </c>
      <c r="S26" s="24">
        <f>'[2]Таблица 5.1'!P25*0.00602</f>
        <v>49.743581437659195</v>
      </c>
      <c r="T26" s="25">
        <f t="shared" si="5"/>
        <v>105.1</v>
      </c>
      <c r="U26" s="24">
        <f>'[2]Таблица 5.1'!T25</f>
        <v>7998.1615419999998</v>
      </c>
      <c r="V26" s="26">
        <f>'[2]Таблица 5.1'!R25*0.00492</f>
        <v>37.193719079999994</v>
      </c>
      <c r="W26" s="25">
        <f t="shared" si="6"/>
        <v>118.05799473772367</v>
      </c>
      <c r="X26" s="24">
        <f>'[2]Таблица 5.1'!V25</f>
        <v>8433.419493575253</v>
      </c>
      <c r="Y26" s="24">
        <f t="shared" si="10"/>
        <v>39.350954786639996</v>
      </c>
      <c r="Z26" s="20">
        <f t="shared" si="9"/>
        <v>105.80000000000001</v>
      </c>
      <c r="AA26" s="23">
        <f>'[2]Таблица 5.1'!X25</f>
        <v>0</v>
      </c>
      <c r="AB26" s="24">
        <f t="shared" si="8"/>
        <v>39.425342224799998</v>
      </c>
      <c r="AC26" s="20">
        <f t="shared" si="7"/>
        <v>106</v>
      </c>
      <c r="AD26" s="21"/>
      <c r="AE26" s="21"/>
    </row>
    <row r="27" spans="4:31">
      <c r="E27" s="17" t="s">
        <v>56</v>
      </c>
      <c r="F27" s="22" t="s">
        <v>57</v>
      </c>
      <c r="G27" s="23">
        <f>'[2]Таблица 5.1'!G26</f>
        <v>10423.200000000001</v>
      </c>
      <c r="H27" s="23">
        <v>1272.2</v>
      </c>
      <c r="I27" s="24">
        <f>'[2]Таблица 5.1'!I26*0.0047</f>
        <v>38.334139999999998</v>
      </c>
      <c r="J27" s="24">
        <f>22.8+51.3</f>
        <v>74.099999999999994</v>
      </c>
      <c r="K27" s="24">
        <f>'[2]Таблица 5.1'!J26</f>
        <v>7098.2</v>
      </c>
      <c r="L27" s="24">
        <f>'[2]Таблица 5.1'!K26</f>
        <v>0</v>
      </c>
      <c r="M27" s="24">
        <f>'[2]Таблица 5.1'!L26*0.00602</f>
        <v>44.652055699999998</v>
      </c>
      <c r="N27" s="25">
        <f t="shared" si="3"/>
        <v>116.48117239619826</v>
      </c>
      <c r="O27" s="24">
        <f>'[2]Таблица 5.1'!M26</f>
        <v>0</v>
      </c>
      <c r="P27" s="24">
        <f>'[2]Таблица 5.1'!N26*0.00602</f>
        <v>46.43813792800001</v>
      </c>
      <c r="Q27" s="25">
        <f t="shared" si="4"/>
        <v>104.00000000000003</v>
      </c>
      <c r="R27" s="24">
        <f>'[2]Таблица 5.1'!O26</f>
        <v>0</v>
      </c>
      <c r="S27" s="24">
        <f>'[2]Таблица 5.1'!P26*0.00602</f>
        <v>48.806482962327998</v>
      </c>
      <c r="T27" s="25">
        <f t="shared" si="5"/>
        <v>105.09999999999997</v>
      </c>
      <c r="U27" s="24">
        <f>'[2]Таблица 5.1'!T26</f>
        <v>7410.6922299999997</v>
      </c>
      <c r="V27" s="26">
        <f>'[2]Таблица 5.1'!R26*0.00492</f>
        <v>34.461820199999998</v>
      </c>
      <c r="W27" s="25">
        <f t="shared" si="6"/>
        <v>89.898508744424689</v>
      </c>
      <c r="X27" s="24">
        <f>'[2]Таблица 5.1'!V26</f>
        <v>7813.9802484835418</v>
      </c>
      <c r="Y27" s="24">
        <f t="shared" si="10"/>
        <v>36.460605771600001</v>
      </c>
      <c r="Z27" s="20">
        <f t="shared" si="9"/>
        <v>105.80000000000001</v>
      </c>
      <c r="AA27" s="23">
        <f>'[2]Таблица 5.1'!X26</f>
        <v>0</v>
      </c>
      <c r="AB27" s="24">
        <f t="shared" si="8"/>
        <v>36.529529412000002</v>
      </c>
      <c r="AC27" s="20">
        <f t="shared" si="7"/>
        <v>106</v>
      </c>
      <c r="AD27" s="21"/>
      <c r="AE27" s="21"/>
    </row>
    <row r="28" spans="4:31" hidden="1">
      <c r="E28" s="17" t="s">
        <v>58</v>
      </c>
      <c r="F28" s="18"/>
      <c r="G28" s="28"/>
      <c r="H28" s="28"/>
      <c r="I28" s="24"/>
      <c r="J28" s="24"/>
      <c r="K28" s="24"/>
      <c r="L28" s="24"/>
      <c r="M28" s="24"/>
      <c r="N28" s="25">
        <f t="shared" si="3"/>
        <v>0</v>
      </c>
      <c r="O28" s="24"/>
      <c r="P28" s="24"/>
      <c r="Q28" s="25">
        <f t="shared" si="4"/>
        <v>0</v>
      </c>
      <c r="R28" s="24"/>
      <c r="S28" s="24"/>
      <c r="T28" s="25">
        <f t="shared" si="5"/>
        <v>0</v>
      </c>
      <c r="U28" s="24"/>
      <c r="V28" s="26"/>
      <c r="W28" s="25">
        <f t="shared" si="6"/>
        <v>0</v>
      </c>
      <c r="X28" s="24"/>
      <c r="Y28" s="24"/>
      <c r="Z28" s="20">
        <f t="shared" si="9"/>
        <v>0</v>
      </c>
      <c r="AA28" s="28"/>
      <c r="AB28" s="24"/>
      <c r="AC28" s="20" t="e">
        <f t="shared" si="7"/>
        <v>#DIV/0!</v>
      </c>
      <c r="AD28" s="28"/>
      <c r="AE28" s="28"/>
    </row>
    <row r="29" spans="4:31">
      <c r="E29" s="29"/>
      <c r="F29" s="30" t="s">
        <v>59</v>
      </c>
      <c r="G29" s="31"/>
      <c r="H29" s="32" t="s">
        <v>60</v>
      </c>
      <c r="I29" s="33" t="s">
        <v>60</v>
      </c>
      <c r="J29" s="33" t="s">
        <v>60</v>
      </c>
      <c r="K29" s="24"/>
      <c r="L29" s="24"/>
      <c r="M29" s="24">
        <f>M11</f>
        <v>12382.087297711465</v>
      </c>
      <c r="N29" s="33" t="s">
        <v>60</v>
      </c>
      <c r="O29" s="24"/>
      <c r="P29" s="33" t="s">
        <v>60</v>
      </c>
      <c r="Q29" s="33" t="s">
        <v>60</v>
      </c>
      <c r="R29" s="24"/>
      <c r="S29" s="33" t="s">
        <v>60</v>
      </c>
      <c r="T29" s="33" t="s">
        <v>60</v>
      </c>
      <c r="U29" s="24"/>
      <c r="V29" s="26">
        <f>V11</f>
        <v>8351.7155982316726</v>
      </c>
      <c r="W29" s="25" t="e">
        <f t="shared" si="6"/>
        <v>#VALUE!</v>
      </c>
      <c r="X29" s="24"/>
      <c r="Y29" s="33" t="s">
        <v>60</v>
      </c>
      <c r="Z29" s="32" t="s">
        <v>60</v>
      </c>
      <c r="AA29" s="19"/>
      <c r="AB29" s="33" t="s">
        <v>60</v>
      </c>
      <c r="AC29" s="20"/>
      <c r="AD29" s="31"/>
      <c r="AE29" s="31"/>
    </row>
    <row r="30" spans="4:31" ht="25.5">
      <c r="D30" s="16" t="s">
        <v>23</v>
      </c>
      <c r="E30" s="34" t="s">
        <v>61</v>
      </c>
      <c r="F30" s="35" t="s">
        <v>62</v>
      </c>
      <c r="G30" s="36">
        <f>SUM(G31:G34)+SUM(G42:G45)+SUM(G47:G48)</f>
        <v>0</v>
      </c>
      <c r="H30" s="36">
        <f t="shared" ref="H30:S30" si="11">SUM(H31:H34)+SUM(H42:H45)+SUM(H47:H48)</f>
        <v>4966.2800000000007</v>
      </c>
      <c r="I30" s="36">
        <f t="shared" si="11"/>
        <v>4759.7421350000004</v>
      </c>
      <c r="J30" s="36">
        <f t="shared" ref="J30" si="12">SUM(J31:J34)+SUM(J42:J45)+SUM(J47:J48)</f>
        <v>4113.2309999999998</v>
      </c>
      <c r="K30" s="36">
        <f>SUM(K31:K34)+SUM(K42:K45)+SUM(K47:K48)</f>
        <v>1131902.9510000001</v>
      </c>
      <c r="L30" s="36">
        <f t="shared" si="11"/>
        <v>270110</v>
      </c>
      <c r="M30" s="36">
        <f t="shared" si="11"/>
        <v>6697.6883460000008</v>
      </c>
      <c r="N30" s="37">
        <f t="shared" si="3"/>
        <v>140.71536137955087</v>
      </c>
      <c r="O30" s="36">
        <f t="shared" si="11"/>
        <v>270110</v>
      </c>
      <c r="P30" s="36">
        <f t="shared" si="11"/>
        <v>6900.3124048720001</v>
      </c>
      <c r="Q30" s="37">
        <f t="shared" si="4"/>
        <v>103.02528347699263</v>
      </c>
      <c r="R30" s="36">
        <f t="shared" si="11"/>
        <v>270110</v>
      </c>
      <c r="S30" s="36">
        <f t="shared" si="11"/>
        <v>7168.9868069362738</v>
      </c>
      <c r="T30" s="37">
        <f t="shared" si="5"/>
        <v>103.89365562455657</v>
      </c>
      <c r="U30" s="36">
        <f>SUM(U31:U34)+SUM(U42:U45)+SUM(U47:U48)</f>
        <v>1041299.2548176548</v>
      </c>
      <c r="V30" s="38">
        <f>SUM(V31:V34)+SUM(V42:V45)+SUM(V47:V48)</f>
        <v>5285.4337453246526</v>
      </c>
      <c r="W30" s="37">
        <f t="shared" si="6"/>
        <v>111.04453971275173</v>
      </c>
      <c r="X30" s="36">
        <f>SUM(X31:X34)+SUM(X42:X45)+SUM(X47:X48)</f>
        <v>1081293.7545336867</v>
      </c>
      <c r="Y30" s="36">
        <f>Y34+Y42+Y43+Y44+Y45+Y47+Y48</f>
        <v>5447.1816055802738</v>
      </c>
      <c r="Z30" s="37">
        <f t="shared" si="9"/>
        <v>103.06025707726822</v>
      </c>
      <c r="AA30" s="36">
        <f>SUM(AA31:AA34)+SUM(AA42:AA45)+SUM(AA47:AA48)</f>
        <v>0</v>
      </c>
      <c r="AB30" s="36">
        <f>SUM(AB31:AB34)+SUM(AB42:AB45)+SUM(AB47:AB48)</f>
        <v>6855.0409783682735</v>
      </c>
      <c r="AC30" s="20">
        <f t="shared" si="7"/>
        <v>129.6968481429183</v>
      </c>
      <c r="AD30" s="21"/>
      <c r="AE30" s="21"/>
    </row>
    <row r="31" spans="4:31" ht="29.25" customHeight="1">
      <c r="D31" s="39"/>
      <c r="E31" s="17" t="s">
        <v>63</v>
      </c>
      <c r="F31" s="22" t="s">
        <v>64</v>
      </c>
      <c r="G31" s="23">
        <f>'[2]Таблица 5.3'!G11</f>
        <v>0</v>
      </c>
      <c r="H31" s="23">
        <f>'[2]Таблица 5.3'!H11</f>
        <v>0</v>
      </c>
      <c r="I31" s="24">
        <f>'[2]Таблица 5.3'!I11</f>
        <v>0</v>
      </c>
      <c r="J31" s="24">
        <f>'[2]Таблица 5.3'!J11</f>
        <v>0</v>
      </c>
      <c r="K31" s="24">
        <f>'[2]Таблица 5.3'!J11</f>
        <v>0</v>
      </c>
      <c r="L31" s="24">
        <f>'[2]Таблица 5.3'!K11</f>
        <v>0</v>
      </c>
      <c r="M31" s="24">
        <f>'[2]Таблица 5.3'!L11</f>
        <v>0</v>
      </c>
      <c r="N31" s="25">
        <f t="shared" si="3"/>
        <v>0</v>
      </c>
      <c r="O31" s="24">
        <f>'[2]Таблица 5.3'!M11</f>
        <v>0</v>
      </c>
      <c r="P31" s="24">
        <f>'[2]Таблица 5.3'!N11</f>
        <v>0</v>
      </c>
      <c r="Q31" s="25">
        <f t="shared" si="4"/>
        <v>0</v>
      </c>
      <c r="R31" s="24">
        <f>'[2]Таблица 5.3'!O11</f>
        <v>0</v>
      </c>
      <c r="S31" s="24">
        <f>'[2]Таблица 5.3'!P11</f>
        <v>0</v>
      </c>
      <c r="T31" s="25">
        <f t="shared" si="5"/>
        <v>0</v>
      </c>
      <c r="U31" s="24">
        <f>'[2]Таблица 5.3'!T11</f>
        <v>0</v>
      </c>
      <c r="V31" s="26">
        <f>'[2]Таблица 5.3'!R11*0.00602</f>
        <v>0</v>
      </c>
      <c r="W31" s="25">
        <f t="shared" si="6"/>
        <v>0</v>
      </c>
      <c r="X31" s="24">
        <f>'[2]Таблица 5.3'!V11</f>
        <v>0</v>
      </c>
      <c r="Y31" s="24">
        <f>'[2]Таблица 5.3'!T11*0.00602</f>
        <v>0</v>
      </c>
      <c r="Z31" s="20">
        <f t="shared" si="9"/>
        <v>0</v>
      </c>
      <c r="AA31" s="23">
        <f>'[2]Таблица 5.3'!X11</f>
        <v>0</v>
      </c>
      <c r="AB31" s="24">
        <f>'[2]Таблица 5.3'!V11*0.00602</f>
        <v>0</v>
      </c>
      <c r="AC31" s="20"/>
      <c r="AD31" s="21"/>
      <c r="AE31" s="21"/>
    </row>
    <row r="32" spans="4:31">
      <c r="E32" s="17" t="s">
        <v>65</v>
      </c>
      <c r="F32" s="22" t="s">
        <v>55</v>
      </c>
      <c r="G32" s="23">
        <f>'[2]Таблица 5.3'!G12</f>
        <v>0</v>
      </c>
      <c r="H32" s="23">
        <f>'[2]Таблица 5.3'!H12</f>
        <v>0</v>
      </c>
      <c r="I32" s="24">
        <f>'[2]Таблица 5.3'!I12</f>
        <v>0</v>
      </c>
      <c r="J32" s="24">
        <f>'[2]Таблица 5.3'!J12</f>
        <v>0</v>
      </c>
      <c r="K32" s="24">
        <f>'[2]Таблица 5.3'!J12</f>
        <v>0</v>
      </c>
      <c r="L32" s="24">
        <f>'[2]Таблица 5.3'!K12</f>
        <v>0</v>
      </c>
      <c r="M32" s="24">
        <f>'[2]Таблица 5.3'!L12</f>
        <v>0</v>
      </c>
      <c r="N32" s="25">
        <f t="shared" si="3"/>
        <v>0</v>
      </c>
      <c r="O32" s="24">
        <f>'[2]Таблица 5.3'!M12</f>
        <v>0</v>
      </c>
      <c r="P32" s="24">
        <f>'[2]Таблица 5.3'!N12</f>
        <v>0</v>
      </c>
      <c r="Q32" s="25">
        <f t="shared" si="4"/>
        <v>0</v>
      </c>
      <c r="R32" s="24">
        <f>'[2]Таблица 5.3'!O12</f>
        <v>0</v>
      </c>
      <c r="S32" s="24">
        <f>'[2]Таблица 5.3'!P12</f>
        <v>0</v>
      </c>
      <c r="T32" s="25">
        <f t="shared" si="5"/>
        <v>0</v>
      </c>
      <c r="U32" s="24">
        <f>'[2]Таблица 5.3'!T12</f>
        <v>0</v>
      </c>
      <c r="V32" s="26">
        <f>'[2]Таблица 5.3'!R12*0.00602</f>
        <v>0</v>
      </c>
      <c r="W32" s="25">
        <f t="shared" si="6"/>
        <v>0</v>
      </c>
      <c r="X32" s="24">
        <f>'[2]Таблица 5.3'!V12</f>
        <v>0</v>
      </c>
      <c r="Y32" s="24">
        <f>'[2]Таблица 5.3'!T12*0.00602</f>
        <v>0</v>
      </c>
      <c r="Z32" s="20">
        <f t="shared" si="9"/>
        <v>0</v>
      </c>
      <c r="AA32" s="23">
        <f>'[2]Таблица 5.3'!X12</f>
        <v>0</v>
      </c>
      <c r="AB32" s="24">
        <f>'[2]Таблица 5.3'!V12*0.00602</f>
        <v>0</v>
      </c>
      <c r="AC32" s="20"/>
      <c r="AD32" s="21"/>
      <c r="AE32" s="21"/>
    </row>
    <row r="33" spans="5:31">
      <c r="E33" s="17" t="s">
        <v>66</v>
      </c>
      <c r="F33" s="22" t="s">
        <v>67</v>
      </c>
      <c r="G33" s="23">
        <f>'[2]Таблица 5.3'!G13</f>
        <v>0</v>
      </c>
      <c r="H33" s="23">
        <f>'[2]Таблица 5.3'!H13</f>
        <v>0</v>
      </c>
      <c r="I33" s="24">
        <f>'[2]Таблица 5.3'!I13</f>
        <v>0</v>
      </c>
      <c r="J33" s="24">
        <f>'[2]Таблица 5.3'!J13</f>
        <v>0</v>
      </c>
      <c r="K33" s="24">
        <f>'[2]Таблица 5.3'!J13</f>
        <v>0</v>
      </c>
      <c r="L33" s="24">
        <f>'[2]Таблица 5.3'!K13</f>
        <v>0</v>
      </c>
      <c r="M33" s="24">
        <f>'[2]Таблица 5.3'!L13</f>
        <v>0</v>
      </c>
      <c r="N33" s="25">
        <f t="shared" si="3"/>
        <v>0</v>
      </c>
      <c r="O33" s="24">
        <f>'[2]Таблица 5.3'!M13</f>
        <v>0</v>
      </c>
      <c r="P33" s="24">
        <f>'[2]Таблица 5.3'!N13</f>
        <v>0</v>
      </c>
      <c r="Q33" s="25">
        <f t="shared" si="4"/>
        <v>0</v>
      </c>
      <c r="R33" s="24">
        <f>'[2]Таблица 5.3'!O13</f>
        <v>0</v>
      </c>
      <c r="S33" s="24">
        <f>'[2]Таблица 5.3'!P13</f>
        <v>0</v>
      </c>
      <c r="T33" s="25">
        <f t="shared" si="5"/>
        <v>0</v>
      </c>
      <c r="U33" s="24">
        <f>'[2]Таблица 5.3'!T13</f>
        <v>0</v>
      </c>
      <c r="V33" s="26">
        <f>'[2]Таблица 5.3'!R13*0.00602</f>
        <v>0</v>
      </c>
      <c r="W33" s="25">
        <f t="shared" si="6"/>
        <v>0</v>
      </c>
      <c r="X33" s="24">
        <f>'[2]Таблица 5.3'!V13</f>
        <v>0</v>
      </c>
      <c r="Y33" s="24">
        <f>'[2]Таблица 5.3'!T13*0.00602</f>
        <v>0</v>
      </c>
      <c r="Z33" s="20">
        <f t="shared" si="9"/>
        <v>0</v>
      </c>
      <c r="AA33" s="23">
        <f>'[2]Таблица 5.3'!X13</f>
        <v>0</v>
      </c>
      <c r="AB33" s="24">
        <f>'[2]Таблица 5.3'!V13*0.00602</f>
        <v>0</v>
      </c>
      <c r="AC33" s="20"/>
      <c r="AD33" s="21"/>
      <c r="AE33" s="21"/>
    </row>
    <row r="34" spans="5:31" ht="25.5">
      <c r="E34" s="17" t="s">
        <v>68</v>
      </c>
      <c r="F34" s="22" t="s">
        <v>69</v>
      </c>
      <c r="G34" s="23">
        <f>'[2]Таблица 5.3'!G14</f>
        <v>0</v>
      </c>
      <c r="H34" s="23">
        <v>1211.17</v>
      </c>
      <c r="I34" s="24">
        <f>'[2]Таблица 5.3'!I14*0.0047</f>
        <v>2530.8421350000003</v>
      </c>
      <c r="J34" s="24">
        <f>J35+J36+J37</f>
        <v>2612.971</v>
      </c>
      <c r="K34" s="24">
        <f>'[2]Таблица 5.3'!J14</f>
        <v>613151.08100000001</v>
      </c>
      <c r="L34" s="24">
        <f>'[2]Таблица 5.3'!K14</f>
        <v>0</v>
      </c>
      <c r="M34" s="24">
        <f>'[2]Таблица 5.3'!L14*0.00602</f>
        <v>3597.3714000000009</v>
      </c>
      <c r="N34" s="25">
        <f t="shared" si="3"/>
        <v>142.1412797839325</v>
      </c>
      <c r="O34" s="24">
        <f>'[2]Таблица 5.3'!M14</f>
        <v>0</v>
      </c>
      <c r="P34" s="24">
        <f>'[2]Таблица 5.3'!N14*0.00602</f>
        <v>3741.0204690320011</v>
      </c>
      <c r="Q34" s="25">
        <f t="shared" si="4"/>
        <v>103.99316759542816</v>
      </c>
      <c r="R34" s="24">
        <f>'[2]Таблица 5.3'!O14</f>
        <v>0</v>
      </c>
      <c r="S34" s="24">
        <f>'[2]Таблица 5.3'!P14*0.00602</f>
        <v>3931.499134568433</v>
      </c>
      <c r="T34" s="25">
        <f t="shared" si="5"/>
        <v>105.09162318445478</v>
      </c>
      <c r="U34" s="24">
        <f>'[2]Таблица 5.3'!T14</f>
        <v>550569.82440000016</v>
      </c>
      <c r="V34" s="24">
        <f>'[2]Таблица 5.3'!R14*0.00602-394.61</f>
        <v>2792.5785864000004</v>
      </c>
      <c r="W34" s="25">
        <f t="shared" si="6"/>
        <v>110.34187189237706</v>
      </c>
      <c r="X34" s="24">
        <f>'[2]Таблица 5.3'!V14</f>
        <v>578596.82923440007</v>
      </c>
      <c r="Y34" s="24">
        <f>2911.25+5.32</f>
        <v>2916.57</v>
      </c>
      <c r="Z34" s="20">
        <f t="shared" si="9"/>
        <v>104.44003310072792</v>
      </c>
      <c r="AA34" s="23">
        <f>'[2]Таблица 5.3'!X14</f>
        <v>0</v>
      </c>
      <c r="AB34" s="24">
        <f>AB35+AB36+AB37</f>
        <v>3577.8037049999998</v>
      </c>
      <c r="AC34" s="20">
        <f t="shared" si="7"/>
        <v>128.11828187840749</v>
      </c>
      <c r="AD34" s="21"/>
      <c r="AE34" s="21"/>
    </row>
    <row r="35" spans="5:31" ht="42.75" customHeight="1">
      <c r="E35" s="17" t="s">
        <v>70</v>
      </c>
      <c r="F35" s="27" t="s">
        <v>71</v>
      </c>
      <c r="G35" s="23">
        <f>'[2]Таблица 5.3'!G15</f>
        <v>0</v>
      </c>
      <c r="H35" s="23">
        <v>175.2</v>
      </c>
      <c r="I35" s="24">
        <f>'[2]Таблица 5.3'!I15*0.0047</f>
        <v>207.639937</v>
      </c>
      <c r="J35" s="24">
        <v>163.38999999999999</v>
      </c>
      <c r="K35" s="24">
        <f>'[2]Таблица 5.3'!J15</f>
        <v>46023.15</v>
      </c>
      <c r="L35" s="24">
        <f>'[2]Таблица 5.3'!K15</f>
        <v>0</v>
      </c>
      <c r="M35" s="24">
        <f>'[2]Таблица 5.3'!L15*0.00602</f>
        <v>446.44217660000004</v>
      </c>
      <c r="N35" s="25">
        <f t="shared" si="3"/>
        <v>215.00785593091373</v>
      </c>
      <c r="O35" s="24">
        <f>'[2]Таблица 5.3'!M15</f>
        <v>0</v>
      </c>
      <c r="P35" s="24">
        <f>'[2]Таблица 5.3'!N15*0.00602</f>
        <v>464.29986366400004</v>
      </c>
      <c r="Q35" s="25">
        <f t="shared" si="4"/>
        <v>104</v>
      </c>
      <c r="R35" s="24">
        <f>'[2]Таблица 5.3'!O15</f>
        <v>0</v>
      </c>
      <c r="S35" s="24">
        <f>'[2]Таблица 5.3'!P15*0.00602</f>
        <v>487.97915671086406</v>
      </c>
      <c r="T35" s="25">
        <f t="shared" si="5"/>
        <v>105.1</v>
      </c>
      <c r="U35" s="24">
        <f>'[2]Таблица 5.3'!T15</f>
        <v>47864.076000000001</v>
      </c>
      <c r="V35" s="26">
        <f>'[2]Таблица 5.3'!R15*0.00602-59.78</f>
        <v>217.27936300000002</v>
      </c>
      <c r="W35" s="25">
        <f t="shared" si="6"/>
        <v>104.64237571021802</v>
      </c>
      <c r="X35" s="24">
        <f>'[2]Таблица 5.3'!V15</f>
        <v>50305.143875999995</v>
      </c>
      <c r="Y35" s="24">
        <v>226</v>
      </c>
      <c r="Z35" s="20">
        <f t="shared" si="9"/>
        <v>104.01355972311093</v>
      </c>
      <c r="AA35" s="23">
        <f>'[2]Таблица 5.3'!X15</f>
        <v>0</v>
      </c>
      <c r="AB35" s="40">
        <f>34153.01*0.0055</f>
        <v>187.841555</v>
      </c>
      <c r="AC35" s="20">
        <f t="shared" si="7"/>
        <v>86.451631856081974</v>
      </c>
      <c r="AD35" s="21"/>
      <c r="AE35" s="21"/>
    </row>
    <row r="36" spans="5:31">
      <c r="E36" s="17" t="s">
        <v>72</v>
      </c>
      <c r="F36" s="27" t="s">
        <v>73</v>
      </c>
      <c r="G36" s="23">
        <f>'[2]Таблица 5.3'!G16</f>
        <v>0</v>
      </c>
      <c r="H36" s="23">
        <v>241.07</v>
      </c>
      <c r="I36" s="24">
        <f>'[2]Таблица 5.3'!I16*0.0047</f>
        <v>168.75838800000002</v>
      </c>
      <c r="J36" s="24">
        <v>197.15</v>
      </c>
      <c r="K36" s="24">
        <f>'[2]Таблица 5.3'!J16</f>
        <v>36817.480000000003</v>
      </c>
      <c r="L36" s="24">
        <f>'[2]Таблица 5.3'!K16</f>
        <v>0</v>
      </c>
      <c r="M36" s="24">
        <f>'[2]Таблица 5.3'!L16*0.00602</f>
        <v>231.78222059999999</v>
      </c>
      <c r="N36" s="25">
        <f t="shared" si="3"/>
        <v>137.34560003026334</v>
      </c>
      <c r="O36" s="24">
        <f>'[2]Таблица 5.3'!M16</f>
        <v>0</v>
      </c>
      <c r="P36" s="24">
        <f>'[2]Таблица 5.3'!N16*0.00602</f>
        <v>241.053509424</v>
      </c>
      <c r="Q36" s="25">
        <f t="shared" si="4"/>
        <v>104</v>
      </c>
      <c r="R36" s="24">
        <f>'[2]Таблица 5.3'!O16</f>
        <v>0</v>
      </c>
      <c r="S36" s="24">
        <f>'[2]Таблица 5.3'!P16*0.00602</f>
        <v>253.34723840462399</v>
      </c>
      <c r="T36" s="25">
        <f t="shared" si="5"/>
        <v>105.1</v>
      </c>
      <c r="U36" s="24">
        <f>'[2]Таблица 5.3'!T16</f>
        <v>40042.111199999999</v>
      </c>
      <c r="V36" s="26">
        <v>189.3</v>
      </c>
      <c r="W36" s="25">
        <f t="shared" si="6"/>
        <v>112.17220207152015</v>
      </c>
      <c r="X36" s="24">
        <f>'[2]Таблица 5.3'!V16</f>
        <v>42084.2588712</v>
      </c>
      <c r="Y36" s="24">
        <v>196</v>
      </c>
      <c r="Z36" s="20">
        <f t="shared" si="9"/>
        <v>103.53935552033808</v>
      </c>
      <c r="AA36" s="23">
        <f>'[2]Таблица 5.3'!X16</f>
        <v>0</v>
      </c>
      <c r="AB36" s="24">
        <f t="shared" ref="AB36:AB46" si="13">Y36</f>
        <v>196</v>
      </c>
      <c r="AC36" s="20">
        <f t="shared" si="7"/>
        <v>103.53935552033808</v>
      </c>
      <c r="AD36" s="21"/>
      <c r="AE36" s="21"/>
    </row>
    <row r="37" spans="5:31">
      <c r="E37" s="17" t="s">
        <v>74</v>
      </c>
      <c r="F37" s="27" t="s">
        <v>75</v>
      </c>
      <c r="G37" s="23">
        <f>'[2]Таблица 5.3'!G17</f>
        <v>0</v>
      </c>
      <c r="H37" s="23">
        <v>794.9</v>
      </c>
      <c r="I37" s="24">
        <f>'[2]Таблица 5.3'!I17*0.0047</f>
        <v>2154.4438100000002</v>
      </c>
      <c r="J37" s="24">
        <v>2252.431</v>
      </c>
      <c r="K37" s="24">
        <f>'[2]Таблица 5.3'!J17</f>
        <v>530310.451</v>
      </c>
      <c r="L37" s="24">
        <f>'[2]Таблица 5.3'!K17</f>
        <v>0</v>
      </c>
      <c r="M37" s="24">
        <f>'[2]Таблица 5.3'!L17*0.00602</f>
        <v>2919.1470028000008</v>
      </c>
      <c r="N37" s="25">
        <f t="shared" si="3"/>
        <v>135.49422775616509</v>
      </c>
      <c r="O37" s="24">
        <f>'[2]Таблица 5.3'!M17</f>
        <v>0</v>
      </c>
      <c r="P37" s="24">
        <f>'[2]Таблица 5.3'!N17*0.00602</f>
        <v>3035.6670959440012</v>
      </c>
      <c r="Q37" s="25">
        <f t="shared" si="4"/>
        <v>103.99158017846433</v>
      </c>
      <c r="R37" s="24">
        <f>'[2]Таблица 5.3'!O17</f>
        <v>0</v>
      </c>
      <c r="S37" s="24">
        <f>'[2]Таблица 5.3'!P17*0.00602</f>
        <v>3190.1727394529444</v>
      </c>
      <c r="T37" s="25">
        <f t="shared" si="5"/>
        <v>105.08967678687102</v>
      </c>
      <c r="U37" s="24">
        <f>'[2]Таблица 5.3'!T17</f>
        <v>462663.63720000017</v>
      </c>
      <c r="V37" s="24">
        <f>'[2]Таблица 5.3'!R17*0.00602-292.41-0.05</f>
        <v>2385.8870028000001</v>
      </c>
      <c r="W37" s="25">
        <f t="shared" si="6"/>
        <v>110.74259591852618</v>
      </c>
      <c r="X37" s="24">
        <f>'[2]Таблица 5.3'!V17</f>
        <v>486207.42648720008</v>
      </c>
      <c r="Y37" s="24">
        <v>2494.5700000000002</v>
      </c>
      <c r="Z37" s="20">
        <f t="shared" si="9"/>
        <v>104.55524494967503</v>
      </c>
      <c r="AA37" s="23">
        <f>'[2]Таблица 5.3'!X17</f>
        <v>0</v>
      </c>
      <c r="AB37" s="24">
        <f>AB38+AB39+AB40+AB41</f>
        <v>3193.9621499999998</v>
      </c>
      <c r="AC37" s="20">
        <f t="shared" si="7"/>
        <v>133.86896136538189</v>
      </c>
      <c r="AD37" s="21"/>
      <c r="AE37" s="21"/>
    </row>
    <row r="38" spans="5:31">
      <c r="E38" s="17"/>
      <c r="F38" s="27" t="s">
        <v>76</v>
      </c>
      <c r="G38" s="23"/>
      <c r="H38" s="23"/>
      <c r="I38" s="24">
        <v>1741.34</v>
      </c>
      <c r="J38" s="24">
        <v>1981.68</v>
      </c>
      <c r="K38" s="24"/>
      <c r="L38" s="24"/>
      <c r="M38" s="24"/>
      <c r="N38" s="25"/>
      <c r="O38" s="24"/>
      <c r="P38" s="24"/>
      <c r="Q38" s="25"/>
      <c r="R38" s="24"/>
      <c r="S38" s="24"/>
      <c r="T38" s="25"/>
      <c r="U38" s="24"/>
      <c r="V38" s="24">
        <v>1962.6</v>
      </c>
      <c r="W38" s="25"/>
      <c r="X38" s="24"/>
      <c r="Y38" s="24">
        <v>2068.27</v>
      </c>
      <c r="Z38" s="20">
        <f t="shared" si="9"/>
        <v>105.38418424538878</v>
      </c>
      <c r="AA38" s="23"/>
      <c r="AB38" s="40">
        <f>503211.3*0.0055</f>
        <v>2767.6621499999997</v>
      </c>
      <c r="AC38" s="20">
        <f t="shared" si="7"/>
        <v>141.02018495872821</v>
      </c>
      <c r="AD38" s="21"/>
      <c r="AE38" s="21"/>
    </row>
    <row r="39" spans="5:31">
      <c r="E39" s="17"/>
      <c r="F39" s="27" t="s">
        <v>77</v>
      </c>
      <c r="G39" s="23"/>
      <c r="H39" s="23"/>
      <c r="I39" s="24">
        <v>407.75</v>
      </c>
      <c r="J39" s="24">
        <v>265.61</v>
      </c>
      <c r="K39" s="24"/>
      <c r="L39" s="24"/>
      <c r="M39" s="24"/>
      <c r="N39" s="25"/>
      <c r="O39" s="24"/>
      <c r="P39" s="24"/>
      <c r="Q39" s="25"/>
      <c r="R39" s="24"/>
      <c r="S39" s="24"/>
      <c r="T39" s="25"/>
      <c r="U39" s="24"/>
      <c r="V39" s="24">
        <v>417.2</v>
      </c>
      <c r="W39" s="25"/>
      <c r="X39" s="24"/>
      <c r="Y39" s="24">
        <v>420</v>
      </c>
      <c r="Z39" s="20">
        <f t="shared" si="9"/>
        <v>100.67114093959732</v>
      </c>
      <c r="AA39" s="23"/>
      <c r="AB39" s="24">
        <f t="shared" si="13"/>
        <v>420</v>
      </c>
      <c r="AC39" s="20">
        <f t="shared" si="7"/>
        <v>100.67114093959732</v>
      </c>
      <c r="AD39" s="21"/>
      <c r="AE39" s="21"/>
    </row>
    <row r="40" spans="5:31">
      <c r="E40" s="17"/>
      <c r="F40" s="27" t="s">
        <v>78</v>
      </c>
      <c r="G40" s="23"/>
      <c r="H40" s="23"/>
      <c r="I40" s="24">
        <v>1.71</v>
      </c>
      <c r="J40" s="24">
        <v>1.46</v>
      </c>
      <c r="K40" s="24"/>
      <c r="L40" s="24"/>
      <c r="M40" s="24"/>
      <c r="N40" s="25"/>
      <c r="O40" s="24"/>
      <c r="P40" s="24"/>
      <c r="Q40" s="25"/>
      <c r="R40" s="24"/>
      <c r="S40" s="24"/>
      <c r="T40" s="25"/>
      <c r="U40" s="24"/>
      <c r="V40" s="24">
        <v>2.2000000000000002</v>
      </c>
      <c r="W40" s="25"/>
      <c r="X40" s="24"/>
      <c r="Y40" s="24">
        <v>2.2999999999999998</v>
      </c>
      <c r="Z40" s="20">
        <f t="shared" si="9"/>
        <v>104.54545454545452</v>
      </c>
      <c r="AA40" s="23"/>
      <c r="AB40" s="24">
        <f t="shared" si="13"/>
        <v>2.2999999999999998</v>
      </c>
      <c r="AC40" s="20">
        <f t="shared" si="7"/>
        <v>104.54545454545452</v>
      </c>
      <c r="AD40" s="21"/>
      <c r="AE40" s="21"/>
    </row>
    <row r="41" spans="5:31">
      <c r="E41" s="17"/>
      <c r="F41" s="27" t="s">
        <v>79</v>
      </c>
      <c r="G41" s="23"/>
      <c r="H41" s="23"/>
      <c r="I41" s="24">
        <v>3.64</v>
      </c>
      <c r="J41" s="24">
        <v>3.68</v>
      </c>
      <c r="K41" s="24"/>
      <c r="L41" s="24"/>
      <c r="M41" s="24"/>
      <c r="N41" s="25"/>
      <c r="O41" s="24"/>
      <c r="P41" s="24"/>
      <c r="Q41" s="25"/>
      <c r="R41" s="24"/>
      <c r="S41" s="24"/>
      <c r="T41" s="25"/>
      <c r="U41" s="24"/>
      <c r="V41" s="24">
        <v>3.9</v>
      </c>
      <c r="W41" s="25"/>
      <c r="X41" s="24"/>
      <c r="Y41" s="24">
        <v>4</v>
      </c>
      <c r="Z41" s="20">
        <f t="shared" si="9"/>
        <v>102.56410256410258</v>
      </c>
      <c r="AA41" s="23"/>
      <c r="AB41" s="24">
        <f t="shared" si="13"/>
        <v>4</v>
      </c>
      <c r="AC41" s="20">
        <f t="shared" si="7"/>
        <v>102.56410256410258</v>
      </c>
      <c r="AD41" s="21"/>
      <c r="AE41" s="21"/>
    </row>
    <row r="42" spans="5:31">
      <c r="E42" s="17" t="s">
        <v>80</v>
      </c>
      <c r="F42" s="22" t="s">
        <v>81</v>
      </c>
      <c r="G42" s="23">
        <f>'[2]Таблица 5.3'!G18</f>
        <v>0</v>
      </c>
      <c r="H42" s="23">
        <v>1758.48</v>
      </c>
      <c r="I42" s="24">
        <v>693.69</v>
      </c>
      <c r="J42" s="24">
        <v>879.56</v>
      </c>
      <c r="K42" s="24">
        <f>'[2]Таблица 5.3'!J18</f>
        <v>185693.17</v>
      </c>
      <c r="L42" s="24">
        <f>'[2]Таблица 5.3'!K18</f>
        <v>0</v>
      </c>
      <c r="M42" s="24">
        <v>1221.1300000000001</v>
      </c>
      <c r="N42" s="25">
        <f t="shared" si="3"/>
        <v>176.03396329772664</v>
      </c>
      <c r="O42" s="24">
        <f>'[2]Таблица 5.3'!M18</f>
        <v>0</v>
      </c>
      <c r="P42" s="24">
        <v>1269.98</v>
      </c>
      <c r="Q42" s="25">
        <f t="shared" si="4"/>
        <v>104.000393078542</v>
      </c>
      <c r="R42" s="24">
        <f>'[2]Таблица 5.3'!O18</f>
        <v>0</v>
      </c>
      <c r="S42" s="24">
        <v>1334.75</v>
      </c>
      <c r="T42" s="25">
        <f t="shared" si="5"/>
        <v>105.10008031622544</v>
      </c>
      <c r="U42" s="24">
        <f>'[2]Таблица 5.3'!T18</f>
        <v>199628.93121765472</v>
      </c>
      <c r="V42" s="26">
        <f>'[2]Таблица 5.3'!R18*0.00602-173.73</f>
        <v>962.15484492465157</v>
      </c>
      <c r="W42" s="25">
        <f t="shared" si="6"/>
        <v>138.70098241644703</v>
      </c>
      <c r="X42" s="24">
        <f>'[2]Таблица 5.3'!V18</f>
        <v>210492.68774728663</v>
      </c>
      <c r="Y42" s="24">
        <f>'[2]Таблица 5.3'!T18*0.005</f>
        <v>998.14465608827368</v>
      </c>
      <c r="Z42" s="20">
        <f t="shared" si="9"/>
        <v>103.74054252841604</v>
      </c>
      <c r="AA42" s="23">
        <f>'[2]Таблица 5.3'!X18</f>
        <v>0</v>
      </c>
      <c r="AB42" s="24">
        <f t="shared" si="13"/>
        <v>998.14465608827368</v>
      </c>
      <c r="AC42" s="20">
        <f t="shared" si="7"/>
        <v>103.74054252841604</v>
      </c>
      <c r="AD42" s="21"/>
      <c r="AE42" s="21"/>
    </row>
    <row r="43" spans="5:31">
      <c r="E43" s="17" t="s">
        <v>82</v>
      </c>
      <c r="F43" s="22" t="s">
        <v>83</v>
      </c>
      <c r="G43" s="23">
        <f>'[2]Таблица 5.3'!G19</f>
        <v>0</v>
      </c>
      <c r="H43" s="23">
        <f>'[2]Таблица 5.3'!H19</f>
        <v>0</v>
      </c>
      <c r="I43" s="24">
        <f>'[2]Таблица 5.3'!I19</f>
        <v>0</v>
      </c>
      <c r="J43" s="24">
        <v>0</v>
      </c>
      <c r="K43" s="24">
        <f>'[2]Таблица 5.3'!J19</f>
        <v>0</v>
      </c>
      <c r="L43" s="24">
        <f>'[2]Таблица 5.3'!K19</f>
        <v>0</v>
      </c>
      <c r="M43" s="24">
        <f>'[2]Таблица 5.3'!L19*0.00602</f>
        <v>0</v>
      </c>
      <c r="N43" s="25">
        <f t="shared" si="3"/>
        <v>0</v>
      </c>
      <c r="O43" s="24">
        <f>'[2]Таблица 5.3'!M19</f>
        <v>0</v>
      </c>
      <c r="P43" s="24">
        <f>'[2]Таблица 5.3'!N19*0.00602</f>
        <v>0</v>
      </c>
      <c r="Q43" s="25">
        <f t="shared" si="4"/>
        <v>0</v>
      </c>
      <c r="R43" s="24">
        <f>'[2]Таблица 5.3'!O19</f>
        <v>0</v>
      </c>
      <c r="S43" s="24">
        <f>'[2]Таблица 5.3'!P19*0.00602</f>
        <v>0</v>
      </c>
      <c r="T43" s="25">
        <f t="shared" si="5"/>
        <v>0</v>
      </c>
      <c r="U43" s="24">
        <f>'[2]Таблица 5.3'!T19</f>
        <v>0</v>
      </c>
      <c r="V43" s="26">
        <f>'[2]Таблица 5.3'!R19*0.00602</f>
        <v>0</v>
      </c>
      <c r="W43" s="25">
        <f t="shared" si="6"/>
        <v>0</v>
      </c>
      <c r="X43" s="24">
        <f>'[2]Таблица 5.3'!V19</f>
        <v>0</v>
      </c>
      <c r="Y43" s="24">
        <f>'[2]Таблица 5.3'!T19*0.00602</f>
        <v>0</v>
      </c>
      <c r="Z43" s="20">
        <f t="shared" si="9"/>
        <v>0</v>
      </c>
      <c r="AA43" s="23">
        <f>'[2]Таблица 5.3'!X19</f>
        <v>0</v>
      </c>
      <c r="AB43" s="24">
        <f t="shared" si="13"/>
        <v>0</v>
      </c>
      <c r="AC43" s="20"/>
      <c r="AD43" s="21"/>
      <c r="AE43" s="21"/>
    </row>
    <row r="44" spans="5:31">
      <c r="E44" s="17" t="s">
        <v>84</v>
      </c>
      <c r="F44" s="22" t="s">
        <v>85</v>
      </c>
      <c r="G44" s="23">
        <f>'[2]Таблица 5.3'!G20</f>
        <v>0</v>
      </c>
      <c r="H44" s="23">
        <v>1917.8</v>
      </c>
      <c r="I44" s="24">
        <v>1432.69</v>
      </c>
      <c r="J44" s="24">
        <v>620.29999999999995</v>
      </c>
      <c r="K44" s="24">
        <f>'[2]Таблица 5.3'!J20</f>
        <v>272517</v>
      </c>
      <c r="L44" s="24">
        <f>'[2]Таблица 5.3'!K20</f>
        <v>270110</v>
      </c>
      <c r="M44" s="24">
        <f>'[2]Таблица 5.3'!L20*0.00602</f>
        <v>1626.0622000000001</v>
      </c>
      <c r="N44" s="25">
        <f t="shared" si="3"/>
        <v>113.49714174036254</v>
      </c>
      <c r="O44" s="24">
        <f>'[2]Таблица 5.3'!M20</f>
        <v>270110</v>
      </c>
      <c r="P44" s="24">
        <f>'[2]Таблица 5.3'!N20*0.00602</f>
        <v>1626.0622000000001</v>
      </c>
      <c r="Q44" s="25">
        <f t="shared" si="4"/>
        <v>100</v>
      </c>
      <c r="R44" s="24">
        <f>'[2]Таблица 5.3'!O20</f>
        <v>270110</v>
      </c>
      <c r="S44" s="24">
        <f>'[2]Таблица 5.3'!P20*0.00602</f>
        <v>1626.0622000000001</v>
      </c>
      <c r="T44" s="25">
        <f t="shared" si="5"/>
        <v>100</v>
      </c>
      <c r="U44" s="24">
        <f>'[2]Таблица 5.3'!T20</f>
        <v>270110</v>
      </c>
      <c r="V44" s="26">
        <f>'[2]Таблица 4.10 НР'!N108</f>
        <v>1432.7</v>
      </c>
      <c r="W44" s="25">
        <f t="shared" si="6"/>
        <v>100.00069798770146</v>
      </c>
      <c r="X44" s="24">
        <f>'[2]Таблица 5.3'!V20</f>
        <v>270110</v>
      </c>
      <c r="Y44" s="24">
        <f>V44</f>
        <v>1432.7</v>
      </c>
      <c r="Z44" s="20">
        <f t="shared" si="9"/>
        <v>100</v>
      </c>
      <c r="AA44" s="23">
        <f>'[2]Таблица 5.3'!X20</f>
        <v>0</v>
      </c>
      <c r="AB44" s="24">
        <f>Y44</f>
        <v>1432.7</v>
      </c>
      <c r="AC44" s="20">
        <f t="shared" si="7"/>
        <v>100</v>
      </c>
      <c r="AD44" s="21"/>
      <c r="AE44" s="21"/>
    </row>
    <row r="45" spans="5:31" ht="25.5">
      <c r="E45" s="17" t="s">
        <v>86</v>
      </c>
      <c r="F45" s="22" t="s">
        <v>87</v>
      </c>
      <c r="G45" s="23">
        <f>'[2]Таблица 5.3'!G21</f>
        <v>0</v>
      </c>
      <c r="H45" s="23">
        <v>0.73</v>
      </c>
      <c r="I45" s="24">
        <v>2.2000000000000002</v>
      </c>
      <c r="J45" s="24">
        <v>0.4</v>
      </c>
      <c r="K45" s="24">
        <f>'[2]Таблица 5.3'!J21</f>
        <v>118.9</v>
      </c>
      <c r="L45" s="24">
        <f>'[2]Таблица 5.3'!K21</f>
        <v>0</v>
      </c>
      <c r="M45" s="24">
        <f>'[2]Таблица 5.3'!L21*0.00602</f>
        <v>0.76213200000000003</v>
      </c>
      <c r="N45" s="25">
        <f t="shared" si="3"/>
        <v>34.642363636363633</v>
      </c>
      <c r="O45" s="24">
        <f>'[2]Таблица 5.3'!M21</f>
        <v>0</v>
      </c>
      <c r="P45" s="24">
        <f>'[2]Таблица 5.3'!N21*0.00602</f>
        <v>0.79261727999999998</v>
      </c>
      <c r="Q45" s="25">
        <f t="shared" si="4"/>
        <v>104</v>
      </c>
      <c r="R45" s="24">
        <f>'[2]Таблица 5.3'!O21</f>
        <v>0</v>
      </c>
      <c r="S45" s="24">
        <f>'[2]Таблица 5.3'!P21*0.00602</f>
        <v>0.83304076127999982</v>
      </c>
      <c r="T45" s="25">
        <f t="shared" si="5"/>
        <v>105.09999999999997</v>
      </c>
      <c r="U45" s="24">
        <f>'[2]Таблица 5.3'!T21</f>
        <v>131.66399999999999</v>
      </c>
      <c r="V45" s="26">
        <v>0</v>
      </c>
      <c r="W45" s="25">
        <f t="shared" si="6"/>
        <v>0</v>
      </c>
      <c r="X45" s="24">
        <f>'[2]Таблица 5.3'!V21</f>
        <v>138.37886399999996</v>
      </c>
      <c r="Y45" s="24">
        <f>'[2]Таблица 5.3'!T21*0.00602</f>
        <v>0.79261727999999998</v>
      </c>
      <c r="Z45" s="20">
        <f t="shared" si="9"/>
        <v>0</v>
      </c>
      <c r="AA45" s="23">
        <f>'[2]Таблица 5.3'!X21</f>
        <v>0</v>
      </c>
      <c r="AB45" s="24">
        <f t="shared" si="13"/>
        <v>0.79261727999999998</v>
      </c>
      <c r="AC45" s="20"/>
      <c r="AD45" s="21"/>
      <c r="AE45" s="21"/>
    </row>
    <row r="46" spans="5:31">
      <c r="E46" s="17" t="s">
        <v>88</v>
      </c>
      <c r="F46" s="22" t="s">
        <v>89</v>
      </c>
      <c r="G46" s="23">
        <f>'[2]Таблица 5.3'!G22</f>
        <v>0</v>
      </c>
      <c r="H46" s="23"/>
      <c r="I46" s="24"/>
      <c r="J46" s="24"/>
      <c r="K46" s="24">
        <f>'[2]Таблица 5.3'!J22</f>
        <v>1071480.1510000001</v>
      </c>
      <c r="L46" s="24">
        <f>'[2]Таблица 5.3'!K22</f>
        <v>270110</v>
      </c>
      <c r="M46" s="24"/>
      <c r="N46" s="25"/>
      <c r="O46" s="24"/>
      <c r="P46" s="24"/>
      <c r="Q46" s="25"/>
      <c r="R46" s="24"/>
      <c r="S46" s="24"/>
      <c r="T46" s="25"/>
      <c r="U46" s="24"/>
      <c r="V46" s="26"/>
      <c r="W46" s="25"/>
      <c r="X46" s="24"/>
      <c r="Y46" s="24"/>
      <c r="Z46" s="20"/>
      <c r="AA46" s="23"/>
      <c r="AB46" s="24">
        <f t="shared" si="13"/>
        <v>0</v>
      </c>
      <c r="AC46" s="20"/>
      <c r="AD46" s="21"/>
      <c r="AE46" s="21"/>
    </row>
    <row r="47" spans="5:31">
      <c r="E47" s="17" t="s">
        <v>90</v>
      </c>
      <c r="F47" s="22" t="s">
        <v>91</v>
      </c>
      <c r="G47" s="23">
        <f>'[2]Таблица 5.3'!G23</f>
        <v>0</v>
      </c>
      <c r="H47" s="23">
        <v>78.099999999999994</v>
      </c>
      <c r="I47" s="24">
        <v>100.32</v>
      </c>
      <c r="J47" s="24">
        <v>0</v>
      </c>
      <c r="K47" s="24">
        <f>'[2]Таблица 5.3'!J23</f>
        <v>60422.799999999988</v>
      </c>
      <c r="L47" s="24">
        <f>'[2]Таблица 5.3'!K23</f>
        <v>0</v>
      </c>
      <c r="M47" s="24">
        <f>'[2]Таблица 5.3'!L23*0.00602</f>
        <v>252.36261399999998</v>
      </c>
      <c r="N47" s="25">
        <f t="shared" si="3"/>
        <v>251.55762958532696</v>
      </c>
      <c r="O47" s="24">
        <f>'[2]Таблица 5.3'!M23</f>
        <v>0</v>
      </c>
      <c r="P47" s="24">
        <f>'[2]Таблица 5.3'!N23*0.00602</f>
        <v>262.45711856000003</v>
      </c>
      <c r="Q47" s="25">
        <f t="shared" si="4"/>
        <v>104.00000000000003</v>
      </c>
      <c r="R47" s="24">
        <f>'[2]Таблица 5.3'!O23</f>
        <v>0</v>
      </c>
      <c r="S47" s="24">
        <f>'[2]Таблица 5.3'!P23*0.00602</f>
        <v>275.84243160656001</v>
      </c>
      <c r="T47" s="25">
        <f t="shared" si="5"/>
        <v>105.1</v>
      </c>
      <c r="U47" s="24">
        <f>'[2]Таблица 5.3'!T23</f>
        <v>20858.835200000001</v>
      </c>
      <c r="V47" s="26">
        <f>'[2]Таблица 5.3'!R23*0.00602-21.91-0.0023-0.01</f>
        <v>98.000314000000003</v>
      </c>
      <c r="W47" s="25">
        <f t="shared" si="6"/>
        <v>97.687713317384379</v>
      </c>
      <c r="X47" s="24">
        <f>'[2]Таблица 5.3'!V23</f>
        <v>21955.858688000004</v>
      </c>
      <c r="Y47" s="24">
        <f>V47*1.058-4.71</f>
        <v>98.974332212000022</v>
      </c>
      <c r="Z47" s="20">
        <f t="shared" si="9"/>
        <v>100.99389295017976</v>
      </c>
      <c r="AA47" s="23">
        <f>'[2]Таблица 5.3'!X23</f>
        <v>0</v>
      </c>
      <c r="AB47" s="24">
        <v>845.6</v>
      </c>
      <c r="AC47" s="20">
        <f t="shared" si="7"/>
        <v>862.854378201278</v>
      </c>
      <c r="AD47" s="21"/>
      <c r="AE47" s="21"/>
    </row>
    <row r="48" spans="5:31" ht="27.75" customHeight="1">
      <c r="E48" s="17" t="s">
        <v>92</v>
      </c>
      <c r="F48" s="22" t="s">
        <v>93</v>
      </c>
      <c r="G48" s="23">
        <f>'[2]Таблица 5.3'!G24</f>
        <v>0</v>
      </c>
      <c r="H48" s="23">
        <f>'[2]Таблица 5.3'!H24</f>
        <v>0</v>
      </c>
      <c r="I48" s="24">
        <f>'[2]Таблица 5.3'!I24</f>
        <v>0</v>
      </c>
      <c r="J48" s="24">
        <f>'[2]Таблица 5.3'!J24</f>
        <v>0</v>
      </c>
      <c r="K48" s="24">
        <f>'[2]Таблица 5.3'!J24</f>
        <v>0</v>
      </c>
      <c r="L48" s="24">
        <f>'[2]Таблица 5.3'!K24</f>
        <v>0</v>
      </c>
      <c r="M48" s="24">
        <f>'[2]Таблица 5.3'!L24</f>
        <v>0</v>
      </c>
      <c r="N48" s="25">
        <f t="shared" si="3"/>
        <v>0</v>
      </c>
      <c r="O48" s="24">
        <f>'[2]Таблица 5.3'!M24</f>
        <v>0</v>
      </c>
      <c r="P48" s="24">
        <f>'[2]Таблица 5.3'!N24</f>
        <v>0</v>
      </c>
      <c r="Q48" s="25">
        <f t="shared" si="4"/>
        <v>0</v>
      </c>
      <c r="R48" s="24">
        <f>'[2]Таблица 5.3'!O24</f>
        <v>0</v>
      </c>
      <c r="S48" s="24">
        <f>'[2]Таблица 5.3'!P24</f>
        <v>0</v>
      </c>
      <c r="T48" s="25">
        <f t="shared" si="5"/>
        <v>0</v>
      </c>
      <c r="U48" s="24">
        <f>'[2]Таблица 5.3'!T24</f>
        <v>0</v>
      </c>
      <c r="V48" s="26">
        <f>'[2]Таблица 5.3'!R24*0.00602</f>
        <v>0</v>
      </c>
      <c r="W48" s="25">
        <f t="shared" si="6"/>
        <v>0</v>
      </c>
      <c r="X48" s="24">
        <f>'[2]Таблица 5.3'!V24</f>
        <v>0</v>
      </c>
      <c r="Y48" s="24">
        <f>'[2]Таблица 5.3'!T24*0.00602</f>
        <v>0</v>
      </c>
      <c r="Z48" s="20">
        <f t="shared" si="9"/>
        <v>0</v>
      </c>
      <c r="AA48" s="23">
        <f>'[2]Таблица 5.3'!X24</f>
        <v>0</v>
      </c>
      <c r="AB48" s="24">
        <v>0</v>
      </c>
      <c r="AC48" s="20"/>
      <c r="AD48" s="21"/>
      <c r="AE48" s="21"/>
    </row>
    <row r="49" spans="4:31" ht="35.25" customHeight="1">
      <c r="D49" s="16" t="s">
        <v>23</v>
      </c>
      <c r="E49" s="34" t="s">
        <v>16</v>
      </c>
      <c r="F49" s="35" t="s">
        <v>94</v>
      </c>
      <c r="G49" s="36">
        <f>'[2]Таблица 5.4'!G16</f>
        <v>10335213.030000001</v>
      </c>
      <c r="H49" s="36">
        <f>H50+H51</f>
        <v>47791.33</v>
      </c>
      <c r="I49" s="36">
        <f>I50+I51</f>
        <v>49129.48</v>
      </c>
      <c r="J49" s="36">
        <f>J50+J51</f>
        <v>50938.93</v>
      </c>
      <c r="K49" s="41">
        <f>'[2]Таблица 5.4'!J16</f>
        <v>11420538.8277233</v>
      </c>
      <c r="L49" s="36">
        <f>'[2]Таблица 5.4'!K16</f>
        <v>0</v>
      </c>
      <c r="M49" s="36">
        <f>'[2]Таблица 5.4'!L16*0.00602</f>
        <v>55937.488023674894</v>
      </c>
      <c r="N49" s="37">
        <f t="shared" si="3"/>
        <v>113.85727677898258</v>
      </c>
      <c r="O49" s="36">
        <f>'[2]Таблица 5.4'!M16</f>
        <v>0</v>
      </c>
      <c r="P49" s="36">
        <f>'[2]Таблица 5.4'!N16*0.00602</f>
        <v>58607.813772073008</v>
      </c>
      <c r="Q49" s="37">
        <f t="shared" si="4"/>
        <v>104.77376772311966</v>
      </c>
      <c r="R49" s="36">
        <f>'[2]Таблица 5.4'!O16</f>
        <v>0</v>
      </c>
      <c r="S49" s="36">
        <f>'[2]Таблица 5.4'!P16*0.00602</f>
        <v>61750.356473484157</v>
      </c>
      <c r="T49" s="37">
        <f t="shared" si="5"/>
        <v>105.36198588405389</v>
      </c>
      <c r="U49" s="36">
        <f>'[2]Таблица 5.4'!T16</f>
        <v>9450693.3322099335</v>
      </c>
      <c r="V49" s="36">
        <f>V50+V51+V52+V53+V54</f>
        <v>51399.948717027015</v>
      </c>
      <c r="W49" s="37">
        <f t="shared" si="6"/>
        <v>104.6213978186356</v>
      </c>
      <c r="X49" s="36">
        <f>'[2]Таблица 5.4'!V16</f>
        <v>9955076.6853095703</v>
      </c>
      <c r="Y49" s="36">
        <f>Y50+Y51+Y52+Y53+Y54</f>
        <v>54105.804339881601</v>
      </c>
      <c r="Z49" s="37">
        <f t="shared" si="9"/>
        <v>105.2643158026308</v>
      </c>
      <c r="AA49" s="36">
        <f>'[2]Таблица 5.4'!X16</f>
        <v>0</v>
      </c>
      <c r="AB49" s="36">
        <f>AB50+AB51+AB52+AB53+AB54</f>
        <v>58592.181739203399</v>
      </c>
      <c r="AC49" s="20">
        <f t="shared" si="7"/>
        <v>113.99268521019721</v>
      </c>
      <c r="AD49" s="21"/>
      <c r="AE49" s="21"/>
    </row>
    <row r="50" spans="4:31">
      <c r="E50" s="17" t="s">
        <v>95</v>
      </c>
      <c r="F50" s="22" t="s">
        <v>96</v>
      </c>
      <c r="G50" s="23">
        <f>'[2]Таблица 5.4'!G11</f>
        <v>10334123.9</v>
      </c>
      <c r="H50" s="23">
        <v>47772</v>
      </c>
      <c r="I50" s="24">
        <v>49124.01</v>
      </c>
      <c r="J50" s="24">
        <v>50931.6</v>
      </c>
      <c r="K50" s="42">
        <f>'[2]Таблица 5.4'!J11</f>
        <v>11418901.207723301</v>
      </c>
      <c r="L50" s="24">
        <f>'[2]Таблица 5.4'!K11</f>
        <v>0</v>
      </c>
      <c r="M50" s="24">
        <f>'[2]Таблица 5.4'!L11*0.00602</f>
        <v>55926.686927634895</v>
      </c>
      <c r="N50" s="25">
        <f t="shared" si="3"/>
        <v>113.84796747585324</v>
      </c>
      <c r="O50" s="24">
        <f>'[2]Таблица 5.4'!M11</f>
        <v>0</v>
      </c>
      <c r="P50" s="24">
        <f>'[2]Таблица 5.4'!N11*0.00602</f>
        <v>58596.057916073005</v>
      </c>
      <c r="Q50" s="25">
        <f t="shared" si="4"/>
        <v>104.77298251529199</v>
      </c>
      <c r="R50" s="24">
        <f>'[2]Таблица 5.4'!O11</f>
        <v>0</v>
      </c>
      <c r="S50" s="24">
        <f>'[2]Таблица 5.4'!P11*0.00602</f>
        <v>61738.036724084152</v>
      </c>
      <c r="T50" s="25">
        <f t="shared" si="5"/>
        <v>105.36209929430986</v>
      </c>
      <c r="U50" s="24">
        <f>'[2]Таблица 5.4'!T11</f>
        <v>9448740.5322099328</v>
      </c>
      <c r="V50" s="26">
        <f>'[2]Таблица 5.4'!R11*0.006-1529.4</f>
        <v>51391.117620987017</v>
      </c>
      <c r="W50" s="25">
        <f t="shared" si="6"/>
        <v>104.61507035151855</v>
      </c>
      <c r="X50" s="24">
        <f>'[2]Таблица 5.4'!V11</f>
        <v>9953030.2153095696</v>
      </c>
      <c r="Y50" s="24">
        <v>54096.62</v>
      </c>
      <c r="Z50" s="20">
        <f t="shared" si="9"/>
        <v>105.26453306379958</v>
      </c>
      <c r="AA50" s="23">
        <f>'[2]Таблица 5.4'!X11</f>
        <v>0</v>
      </c>
      <c r="AB50" s="40">
        <v>58582.6</v>
      </c>
      <c r="AC50" s="20">
        <f t="shared" si="7"/>
        <v>113.99362907818167</v>
      </c>
      <c r="AD50" s="21"/>
      <c r="AE50" s="21"/>
    </row>
    <row r="51" spans="4:31">
      <c r="E51" s="17" t="s">
        <v>97</v>
      </c>
      <c r="F51" s="22" t="s">
        <v>98</v>
      </c>
      <c r="G51" s="23">
        <f>'[2]Таблица 5.4'!G12</f>
        <v>1089.1300000000001</v>
      </c>
      <c r="H51" s="23">
        <v>19.329999999999998</v>
      </c>
      <c r="I51" s="24">
        <v>5.47</v>
      </c>
      <c r="J51" s="24">
        <v>7.33</v>
      </c>
      <c r="K51" s="42">
        <f>'[2]Таблица 5.4'!J12</f>
        <v>1637.6200000000001</v>
      </c>
      <c r="L51" s="24">
        <f>'[2]Таблица 5.4'!K12</f>
        <v>0</v>
      </c>
      <c r="M51" s="24">
        <f>'[2]Таблица 5.4'!L12*0.00602</f>
        <v>10.801096039999999</v>
      </c>
      <c r="N51" s="25">
        <f t="shared" si="3"/>
        <v>197.46062230347349</v>
      </c>
      <c r="O51" s="24">
        <f>'[2]Таблица 5.4'!M12</f>
        <v>0</v>
      </c>
      <c r="P51" s="24">
        <f>'[2]Таблица 5.4'!N12*0.00602</f>
        <v>11.755856000000001</v>
      </c>
      <c r="Q51" s="25">
        <f t="shared" si="4"/>
        <v>108.83947292445335</v>
      </c>
      <c r="R51" s="24">
        <f>'[2]Таблица 5.4'!O12</f>
        <v>0</v>
      </c>
      <c r="S51" s="24">
        <f>'[2]Таблица 5.4'!P12*0.00602</f>
        <v>12.319749399999999</v>
      </c>
      <c r="T51" s="25">
        <f t="shared" si="5"/>
        <v>104.79670217124128</v>
      </c>
      <c r="U51" s="24">
        <f>'[2]Таблица 5.4'!T12</f>
        <v>1952.8000000000002</v>
      </c>
      <c r="V51" s="24">
        <f>'[2]Таблица 5.4'!R12*0.00602-1.97</f>
        <v>8.8310960399999985</v>
      </c>
      <c r="W51" s="25">
        <f t="shared" si="6"/>
        <v>161.44599707495428</v>
      </c>
      <c r="X51" s="24">
        <f>'[2]Таблица 5.4'!V12</f>
        <v>2046.4699999999998</v>
      </c>
      <c r="Y51" s="24">
        <f>V51*1.04</f>
        <v>9.1843398815999979</v>
      </c>
      <c r="Z51" s="20">
        <f t="shared" si="9"/>
        <v>104</v>
      </c>
      <c r="AA51" s="23">
        <f>'[2]Таблица 5.4'!X12</f>
        <v>0</v>
      </c>
      <c r="AB51" s="24">
        <f>V51*1.085</f>
        <v>9.581739203399998</v>
      </c>
      <c r="AC51" s="20">
        <f t="shared" si="7"/>
        <v>108.5</v>
      </c>
      <c r="AD51" s="21"/>
      <c r="AE51" s="21"/>
    </row>
    <row r="52" spans="4:31">
      <c r="E52" s="17" t="s">
        <v>99</v>
      </c>
      <c r="F52" s="22" t="s">
        <v>100</v>
      </c>
      <c r="G52" s="23">
        <f>'[2]Таблица 5.4'!G13</f>
        <v>0</v>
      </c>
      <c r="H52" s="23">
        <v>0</v>
      </c>
      <c r="I52" s="24">
        <f>'[2]Таблица 5.4'!I13</f>
        <v>0</v>
      </c>
      <c r="J52" s="24">
        <v>0</v>
      </c>
      <c r="K52" s="42">
        <f>'[2]Таблица 5.4'!J13</f>
        <v>0</v>
      </c>
      <c r="L52" s="24">
        <f>'[2]Таблица 5.4'!K13</f>
        <v>0</v>
      </c>
      <c r="M52" s="24">
        <f>'[2]Таблица 5.4'!L13</f>
        <v>0</v>
      </c>
      <c r="N52" s="25">
        <f t="shared" si="3"/>
        <v>0</v>
      </c>
      <c r="O52" s="24">
        <f>'[2]Таблица 5.4'!M13</f>
        <v>0</v>
      </c>
      <c r="P52" s="24">
        <f>'[2]Таблица 5.4'!N13</f>
        <v>0</v>
      </c>
      <c r="Q52" s="25">
        <f t="shared" si="4"/>
        <v>0</v>
      </c>
      <c r="R52" s="24">
        <f>'[2]Таблица 5.4'!O13</f>
        <v>0</v>
      </c>
      <c r="S52" s="24">
        <f>'[2]Таблица 5.4'!P13</f>
        <v>0</v>
      </c>
      <c r="T52" s="25">
        <f t="shared" si="5"/>
        <v>0</v>
      </c>
      <c r="U52" s="24">
        <f>'[2]Таблица 5.4'!T13</f>
        <v>0</v>
      </c>
      <c r="V52" s="26">
        <f>'[2]Таблица 5.4'!R13*0.00602</f>
        <v>0</v>
      </c>
      <c r="W52" s="25">
        <f t="shared" si="6"/>
        <v>0</v>
      </c>
      <c r="X52" s="24">
        <f>'[2]Таблица 5.4'!V13</f>
        <v>0</v>
      </c>
      <c r="Y52" s="24">
        <f>'[2]Таблица 5.4'!T13*0.0602</f>
        <v>0</v>
      </c>
      <c r="Z52" s="20">
        <f t="shared" si="9"/>
        <v>0</v>
      </c>
      <c r="AA52" s="23">
        <f>'[2]Таблица 5.4'!X13</f>
        <v>0</v>
      </c>
      <c r="AB52" s="24">
        <f t="shared" ref="AB52:AB54" si="14">Y52</f>
        <v>0</v>
      </c>
      <c r="AC52" s="20"/>
      <c r="AD52" s="21"/>
      <c r="AE52" s="21"/>
    </row>
    <row r="53" spans="4:31">
      <c r="E53" s="17" t="s">
        <v>101</v>
      </c>
      <c r="F53" s="22" t="s">
        <v>102</v>
      </c>
      <c r="G53" s="23">
        <f>'[2]Таблица 5.4'!G14</f>
        <v>0</v>
      </c>
      <c r="H53" s="23">
        <v>0</v>
      </c>
      <c r="I53" s="24">
        <f>'[2]Таблица 5.4'!I14</f>
        <v>0</v>
      </c>
      <c r="J53" s="24">
        <v>0</v>
      </c>
      <c r="K53" s="42">
        <f>'[2]Таблица 5.4'!J14</f>
        <v>0</v>
      </c>
      <c r="L53" s="24">
        <f>'[2]Таблица 5.4'!K14</f>
        <v>0</v>
      </c>
      <c r="M53" s="24">
        <f>'[2]Таблица 5.4'!L14</f>
        <v>0</v>
      </c>
      <c r="N53" s="25">
        <f t="shared" si="3"/>
        <v>0</v>
      </c>
      <c r="O53" s="24">
        <f>'[2]Таблица 5.4'!M14</f>
        <v>0</v>
      </c>
      <c r="P53" s="24">
        <f>'[2]Таблица 5.4'!N14</f>
        <v>0</v>
      </c>
      <c r="Q53" s="25">
        <f t="shared" si="4"/>
        <v>0</v>
      </c>
      <c r="R53" s="24">
        <f>'[2]Таблица 5.4'!O14</f>
        <v>0</v>
      </c>
      <c r="S53" s="24">
        <f>'[2]Таблица 5.4'!P14</f>
        <v>0</v>
      </c>
      <c r="T53" s="25">
        <f t="shared" si="5"/>
        <v>0</v>
      </c>
      <c r="U53" s="24">
        <f>'[2]Таблица 5.4'!T14</f>
        <v>0</v>
      </c>
      <c r="V53" s="26">
        <f>'[2]Таблица 5.4'!R14*0.00602</f>
        <v>0</v>
      </c>
      <c r="W53" s="25">
        <f t="shared" si="6"/>
        <v>0</v>
      </c>
      <c r="X53" s="24">
        <f>'[2]Таблица 5.4'!V14</f>
        <v>0</v>
      </c>
      <c r="Y53" s="24">
        <f>'[2]Таблица 5.4'!T14*0.00602</f>
        <v>0</v>
      </c>
      <c r="Z53" s="20">
        <f t="shared" si="9"/>
        <v>0</v>
      </c>
      <c r="AA53" s="23">
        <f>'[2]Таблица 5.4'!X14</f>
        <v>0</v>
      </c>
      <c r="AB53" s="24">
        <f t="shared" si="14"/>
        <v>0</v>
      </c>
      <c r="AC53" s="20"/>
      <c r="AD53" s="21"/>
      <c r="AE53" s="21"/>
    </row>
    <row r="54" spans="4:31">
      <c r="E54" s="17" t="s">
        <v>103</v>
      </c>
      <c r="F54" s="22" t="s">
        <v>104</v>
      </c>
      <c r="G54" s="23">
        <f>'[2]Таблица 5.4'!G15</f>
        <v>0</v>
      </c>
      <c r="H54" s="23">
        <v>0</v>
      </c>
      <c r="I54" s="24">
        <f>'[2]Таблица 5.4'!I15</f>
        <v>0</v>
      </c>
      <c r="J54" s="24">
        <v>0</v>
      </c>
      <c r="K54" s="42">
        <f>'[2]Таблица 5.4'!J15</f>
        <v>0</v>
      </c>
      <c r="L54" s="24">
        <f>'[2]Таблица 5.4'!K15</f>
        <v>0</v>
      </c>
      <c r="M54" s="24">
        <f>'[2]Таблица 5.4'!L15</f>
        <v>0</v>
      </c>
      <c r="N54" s="25">
        <f t="shared" si="3"/>
        <v>0</v>
      </c>
      <c r="O54" s="24">
        <f>'[2]Таблица 5.4'!M15</f>
        <v>0</v>
      </c>
      <c r="P54" s="24">
        <f>'[2]Таблица 5.4'!N15</f>
        <v>0</v>
      </c>
      <c r="Q54" s="25">
        <f t="shared" si="4"/>
        <v>0</v>
      </c>
      <c r="R54" s="24">
        <f>'[2]Таблица 5.4'!O15</f>
        <v>0</v>
      </c>
      <c r="S54" s="24">
        <f>'[2]Таблица 5.4'!P15</f>
        <v>0</v>
      </c>
      <c r="T54" s="25">
        <f t="shared" si="5"/>
        <v>0</v>
      </c>
      <c r="U54" s="24">
        <f>'[2]Таблица 5.4'!T15</f>
        <v>0</v>
      </c>
      <c r="V54" s="26">
        <f>'[2]Таблица 5.4'!R15*0.00602</f>
        <v>0</v>
      </c>
      <c r="W54" s="25">
        <f t="shared" si="6"/>
        <v>0</v>
      </c>
      <c r="X54" s="24">
        <f>'[2]Таблица 5.4'!V15</f>
        <v>0</v>
      </c>
      <c r="Y54" s="24">
        <f>'[2]Таблица 5.4'!T15*0.00602</f>
        <v>0</v>
      </c>
      <c r="Z54" s="20">
        <f t="shared" si="9"/>
        <v>0</v>
      </c>
      <c r="AA54" s="23">
        <f>'[2]Таблица 5.4'!X15</f>
        <v>0</v>
      </c>
      <c r="AB54" s="24">
        <f t="shared" si="14"/>
        <v>0</v>
      </c>
      <c r="AC54" s="20"/>
      <c r="AD54" s="21"/>
      <c r="AE54" s="21"/>
    </row>
    <row r="55" spans="4:31">
      <c r="E55" s="17" t="s">
        <v>105</v>
      </c>
      <c r="F55" s="18" t="s">
        <v>106</v>
      </c>
      <c r="G55" s="43"/>
      <c r="H55" s="23">
        <v>504.48</v>
      </c>
      <c r="I55" s="24">
        <v>430.65</v>
      </c>
      <c r="J55" s="24">
        <v>407.02</v>
      </c>
      <c r="K55" s="24">
        <f>[2]Прибыль!I27</f>
        <v>302113.99999999994</v>
      </c>
      <c r="L55" s="42"/>
      <c r="M55" s="24">
        <f>[2]Прибыль!K27*0.00602</f>
        <v>1261.8130699999999</v>
      </c>
      <c r="N55" s="25">
        <f t="shared" si="3"/>
        <v>293.0019900150935</v>
      </c>
      <c r="O55" s="42"/>
      <c r="P55" s="24">
        <f>[2]Прибыль!N27*0.00602</f>
        <v>1312.2855928000001</v>
      </c>
      <c r="Q55" s="25">
        <f t="shared" si="4"/>
        <v>104.00000000000003</v>
      </c>
      <c r="R55" s="42"/>
      <c r="S55" s="24">
        <f>[2]Прибыль!Q27*0.00602</f>
        <v>1379.2121580328001</v>
      </c>
      <c r="T55" s="25">
        <f t="shared" si="5"/>
        <v>105.1</v>
      </c>
      <c r="U55" s="42"/>
      <c r="V55" s="24">
        <f>[2]Прибыль!Z27*0.00602-109.65-0.01</f>
        <v>489.95307000000003</v>
      </c>
      <c r="W55" s="25">
        <f t="shared" si="6"/>
        <v>113.77059561128529</v>
      </c>
      <c r="X55" s="42"/>
      <c r="Y55" s="24">
        <v>513.02</v>
      </c>
      <c r="Z55" s="20">
        <f t="shared" si="9"/>
        <v>104.70798764461257</v>
      </c>
      <c r="AA55" s="43"/>
      <c r="AB55" s="24">
        <f>Y55+AB56</f>
        <v>4228.0199393987677</v>
      </c>
      <c r="AC55" s="20">
        <f t="shared" si="7"/>
        <v>862.94386101076327</v>
      </c>
      <c r="AD55" s="21"/>
      <c r="AE55" s="21"/>
    </row>
    <row r="56" spans="4:31">
      <c r="E56" s="72" t="s">
        <v>147</v>
      </c>
      <c r="F56" s="73" t="s">
        <v>148</v>
      </c>
      <c r="G56" s="74"/>
      <c r="H56" s="74"/>
      <c r="I56" s="74"/>
      <c r="J56" s="74"/>
      <c r="K56" s="74"/>
      <c r="L56" s="74"/>
      <c r="M56" s="74"/>
      <c r="N56" s="75">
        <f t="shared" si="3"/>
        <v>0</v>
      </c>
      <c r="O56" s="74"/>
      <c r="P56" s="74"/>
      <c r="Q56" s="75">
        <f t="shared" si="4"/>
        <v>0</v>
      </c>
      <c r="R56" s="74"/>
      <c r="S56" s="74"/>
      <c r="T56" s="75">
        <f t="shared" si="5"/>
        <v>0</v>
      </c>
      <c r="U56" s="74"/>
      <c r="V56" s="76"/>
      <c r="W56" s="75">
        <f t="shared" si="6"/>
        <v>0</v>
      </c>
      <c r="X56" s="74"/>
      <c r="Y56" s="74"/>
      <c r="Z56" s="75">
        <f t="shared" si="9"/>
        <v>0</v>
      </c>
      <c r="AA56" s="74"/>
      <c r="AB56" s="74">
        <f>(AB11+AB30+AB49)*0.05</f>
        <v>3714.9999393987673</v>
      </c>
      <c r="AC56" s="75"/>
      <c r="AD56" s="44"/>
      <c r="AE56" s="44"/>
    </row>
    <row r="57" spans="4:31" hidden="1">
      <c r="E57" s="29"/>
      <c r="F57" s="45" t="s">
        <v>108</v>
      </c>
      <c r="G57" s="31"/>
      <c r="H57" s="31"/>
      <c r="I57" s="46"/>
      <c r="J57" s="46"/>
      <c r="K57" s="46"/>
      <c r="L57" s="46"/>
      <c r="M57" s="46"/>
      <c r="N57" s="25">
        <f t="shared" si="3"/>
        <v>0</v>
      </c>
      <c r="O57" s="46"/>
      <c r="P57" s="46"/>
      <c r="Q57" s="25">
        <f t="shared" si="4"/>
        <v>0</v>
      </c>
      <c r="R57" s="46"/>
      <c r="S57" s="46"/>
      <c r="T57" s="25">
        <f t="shared" si="5"/>
        <v>0</v>
      </c>
      <c r="U57" s="46"/>
      <c r="V57" s="47"/>
      <c r="W57" s="25">
        <f t="shared" si="6"/>
        <v>0</v>
      </c>
      <c r="X57" s="46"/>
      <c r="Y57" s="46"/>
      <c r="Z57" s="20">
        <f t="shared" si="9"/>
        <v>0</v>
      </c>
      <c r="AA57" s="31"/>
      <c r="AB57" s="46"/>
      <c r="AC57" s="20" t="e">
        <f t="shared" si="7"/>
        <v>#DIV/0!</v>
      </c>
      <c r="AD57" s="31"/>
      <c r="AE57" s="31"/>
    </row>
    <row r="58" spans="4:31" ht="25.5">
      <c r="D58" s="16" t="s">
        <v>23</v>
      </c>
      <c r="E58" s="17" t="s">
        <v>17</v>
      </c>
      <c r="F58" s="18" t="s">
        <v>109</v>
      </c>
      <c r="G58" s="23">
        <f>'[2]Результаты деятельности'!G11</f>
        <v>0</v>
      </c>
      <c r="H58" s="23">
        <f>'[2]Результаты деятельности'!H11</f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4">
        <f t="shared" si="9"/>
        <v>0</v>
      </c>
      <c r="AA58" s="85">
        <f>'[2]Результаты деятельности'!X11</f>
        <v>0</v>
      </c>
      <c r="AB58" s="82">
        <v>0</v>
      </c>
      <c r="AC58" s="84">
        <v>0</v>
      </c>
      <c r="AD58" s="21"/>
      <c r="AE58" s="21"/>
    </row>
    <row r="59" spans="4:31" ht="39.75" customHeight="1">
      <c r="E59" s="17" t="s">
        <v>110</v>
      </c>
      <c r="F59" s="22" t="s">
        <v>111</v>
      </c>
      <c r="G59" s="23">
        <f>'[2]Результаты деятельности'!G12</f>
        <v>0</v>
      </c>
      <c r="H59" s="23">
        <f>'[2]Результаты деятельности'!H12</f>
        <v>0</v>
      </c>
      <c r="I59" s="82">
        <v>0</v>
      </c>
      <c r="J59" s="82">
        <v>0</v>
      </c>
      <c r="K59" s="82">
        <v>0</v>
      </c>
      <c r="L59" s="82">
        <v>0</v>
      </c>
      <c r="M59" s="82">
        <v>0</v>
      </c>
      <c r="N59" s="82">
        <v>0</v>
      </c>
      <c r="O59" s="82">
        <v>0</v>
      </c>
      <c r="P59" s="82">
        <v>0</v>
      </c>
      <c r="Q59" s="82">
        <v>0</v>
      </c>
      <c r="R59" s="82">
        <v>0</v>
      </c>
      <c r="S59" s="82">
        <v>0</v>
      </c>
      <c r="T59" s="82">
        <v>0</v>
      </c>
      <c r="U59" s="82">
        <v>0</v>
      </c>
      <c r="V59" s="82">
        <v>0</v>
      </c>
      <c r="W59" s="82">
        <v>0</v>
      </c>
      <c r="X59" s="82">
        <v>0</v>
      </c>
      <c r="Y59" s="82">
        <v>0</v>
      </c>
      <c r="Z59" s="84">
        <f t="shared" si="9"/>
        <v>0</v>
      </c>
      <c r="AA59" s="85">
        <f>'[2]Результаты деятельности'!X12</f>
        <v>0</v>
      </c>
      <c r="AB59" s="82">
        <v>0</v>
      </c>
      <c r="AC59" s="84">
        <v>0</v>
      </c>
      <c r="AD59" s="21"/>
      <c r="AE59" s="21"/>
    </row>
    <row r="60" spans="4:31" ht="39.75" customHeight="1">
      <c r="E60" s="17" t="s">
        <v>112</v>
      </c>
      <c r="F60" s="22" t="s">
        <v>113</v>
      </c>
      <c r="G60" s="23">
        <f>'[2]Результаты деятельности'!G20</f>
        <v>0</v>
      </c>
      <c r="H60" s="23">
        <f>'[2]Результаты деятельности'!H20</f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4">
        <f t="shared" si="9"/>
        <v>0</v>
      </c>
      <c r="AA60" s="85">
        <f>'[2]Результаты деятельности'!X20</f>
        <v>0</v>
      </c>
      <c r="AB60" s="82">
        <v>0</v>
      </c>
      <c r="AC60" s="84">
        <v>0</v>
      </c>
      <c r="AD60" s="21"/>
      <c r="AE60" s="21"/>
    </row>
    <row r="61" spans="4:31" ht="39.75" customHeight="1">
      <c r="E61" s="17" t="s">
        <v>114</v>
      </c>
      <c r="F61" s="22" t="s">
        <v>115</v>
      </c>
      <c r="G61" s="23">
        <f>'[2]Результаты деятельности'!G28</f>
        <v>0</v>
      </c>
      <c r="H61" s="23">
        <f>'[2]Результаты деятельности'!H28</f>
        <v>0</v>
      </c>
      <c r="I61" s="82">
        <v>0</v>
      </c>
      <c r="J61" s="82">
        <v>0</v>
      </c>
      <c r="K61" s="82">
        <v>0</v>
      </c>
      <c r="L61" s="82">
        <v>0</v>
      </c>
      <c r="M61" s="82">
        <v>0</v>
      </c>
      <c r="N61" s="82">
        <v>0</v>
      </c>
      <c r="O61" s="82">
        <v>0</v>
      </c>
      <c r="P61" s="82">
        <v>0</v>
      </c>
      <c r="Q61" s="82">
        <v>0</v>
      </c>
      <c r="R61" s="82">
        <v>0</v>
      </c>
      <c r="S61" s="82">
        <v>0</v>
      </c>
      <c r="T61" s="82">
        <v>0</v>
      </c>
      <c r="U61" s="82">
        <v>0</v>
      </c>
      <c r="V61" s="82">
        <v>0</v>
      </c>
      <c r="W61" s="82">
        <v>0</v>
      </c>
      <c r="X61" s="82">
        <v>0</v>
      </c>
      <c r="Y61" s="82">
        <v>0</v>
      </c>
      <c r="Z61" s="84">
        <f t="shared" si="9"/>
        <v>0</v>
      </c>
      <c r="AA61" s="85">
        <f>'[2]Результаты деятельности'!X28</f>
        <v>0</v>
      </c>
      <c r="AB61" s="82">
        <v>0</v>
      </c>
      <c r="AC61" s="84">
        <v>0</v>
      </c>
      <c r="AD61" s="21"/>
      <c r="AE61" s="21"/>
    </row>
    <row r="62" spans="4:31" ht="30.75" customHeight="1">
      <c r="E62" s="17" t="s">
        <v>116</v>
      </c>
      <c r="F62" s="18" t="s">
        <v>117</v>
      </c>
      <c r="G62" s="43"/>
      <c r="H62" s="43"/>
      <c r="I62" s="83">
        <v>0</v>
      </c>
      <c r="J62" s="83">
        <v>0</v>
      </c>
      <c r="K62" s="83">
        <v>0</v>
      </c>
      <c r="L62" s="83">
        <v>0</v>
      </c>
      <c r="M62" s="83">
        <v>0</v>
      </c>
      <c r="N62" s="83">
        <v>0</v>
      </c>
      <c r="O62" s="83">
        <v>0</v>
      </c>
      <c r="P62" s="83">
        <v>0</v>
      </c>
      <c r="Q62" s="83">
        <v>0</v>
      </c>
      <c r="R62" s="83">
        <v>0</v>
      </c>
      <c r="S62" s="83">
        <v>0</v>
      </c>
      <c r="T62" s="83">
        <v>0</v>
      </c>
      <c r="U62" s="83">
        <v>0</v>
      </c>
      <c r="V62" s="83">
        <v>0</v>
      </c>
      <c r="W62" s="83">
        <v>0</v>
      </c>
      <c r="X62" s="83">
        <v>0</v>
      </c>
      <c r="Y62" s="83">
        <v>0</v>
      </c>
      <c r="Z62" s="84">
        <f t="shared" si="9"/>
        <v>0</v>
      </c>
      <c r="AA62" s="86"/>
      <c r="AB62" s="83">
        <v>0</v>
      </c>
      <c r="AC62" s="84">
        <v>0</v>
      </c>
      <c r="AD62" s="21"/>
      <c r="AE62" s="21"/>
    </row>
    <row r="63" spans="4:31" ht="27.75" customHeight="1">
      <c r="E63" s="17" t="s">
        <v>18</v>
      </c>
      <c r="F63" s="18" t="s">
        <v>118</v>
      </c>
      <c r="G63" s="43"/>
      <c r="H63" s="43"/>
      <c r="I63" s="83">
        <v>0</v>
      </c>
      <c r="J63" s="83">
        <v>0</v>
      </c>
      <c r="K63" s="83">
        <v>0</v>
      </c>
      <c r="L63" s="83">
        <v>0</v>
      </c>
      <c r="M63" s="83">
        <v>0</v>
      </c>
      <c r="N63" s="83">
        <v>0</v>
      </c>
      <c r="O63" s="83">
        <v>0</v>
      </c>
      <c r="P63" s="83">
        <v>0</v>
      </c>
      <c r="Q63" s="83">
        <v>0</v>
      </c>
      <c r="R63" s="83">
        <v>0</v>
      </c>
      <c r="S63" s="83">
        <v>0</v>
      </c>
      <c r="T63" s="83">
        <v>0</v>
      </c>
      <c r="U63" s="83">
        <v>0</v>
      </c>
      <c r="V63" s="83">
        <v>0</v>
      </c>
      <c r="W63" s="83">
        <v>0</v>
      </c>
      <c r="X63" s="83">
        <v>0</v>
      </c>
      <c r="Y63" s="83">
        <v>0</v>
      </c>
      <c r="Z63" s="84">
        <f t="shared" si="9"/>
        <v>0</v>
      </c>
      <c r="AA63" s="86"/>
      <c r="AB63" s="83">
        <v>0</v>
      </c>
      <c r="AC63" s="84">
        <v>0</v>
      </c>
      <c r="AD63" s="21"/>
      <c r="AE63" s="21"/>
    </row>
    <row r="64" spans="4:31" ht="20.25" customHeight="1">
      <c r="E64" s="17" t="s">
        <v>119</v>
      </c>
      <c r="F64" s="18" t="s">
        <v>120</v>
      </c>
      <c r="G64" s="43"/>
      <c r="H64" s="43"/>
      <c r="I64" s="83">
        <v>0</v>
      </c>
      <c r="J64" s="83">
        <v>0</v>
      </c>
      <c r="K64" s="83">
        <v>0</v>
      </c>
      <c r="L64" s="83">
        <v>0</v>
      </c>
      <c r="M64" s="83">
        <v>0</v>
      </c>
      <c r="N64" s="83">
        <v>0</v>
      </c>
      <c r="O64" s="83">
        <v>0</v>
      </c>
      <c r="P64" s="83">
        <v>0</v>
      </c>
      <c r="Q64" s="83">
        <v>0</v>
      </c>
      <c r="R64" s="83">
        <v>0</v>
      </c>
      <c r="S64" s="83">
        <v>0</v>
      </c>
      <c r="T64" s="83">
        <v>0</v>
      </c>
      <c r="U64" s="83">
        <v>0</v>
      </c>
      <c r="V64" s="83">
        <v>0</v>
      </c>
      <c r="W64" s="83">
        <v>0</v>
      </c>
      <c r="X64" s="83">
        <v>0</v>
      </c>
      <c r="Y64" s="83">
        <v>0</v>
      </c>
      <c r="Z64" s="84">
        <f t="shared" si="9"/>
        <v>0</v>
      </c>
      <c r="AA64" s="86"/>
      <c r="AB64" s="83">
        <v>0</v>
      </c>
      <c r="AC64" s="84">
        <v>0</v>
      </c>
      <c r="AD64" s="21"/>
      <c r="AE64" s="21"/>
    </row>
    <row r="65" spans="5:31" ht="66.75" customHeight="1">
      <c r="E65" s="17" t="s">
        <v>19</v>
      </c>
      <c r="F65" s="18" t="s">
        <v>121</v>
      </c>
      <c r="G65" s="43"/>
      <c r="H65" s="43"/>
      <c r="I65" s="83">
        <v>0</v>
      </c>
      <c r="J65" s="83">
        <v>0</v>
      </c>
      <c r="K65" s="83">
        <v>0</v>
      </c>
      <c r="L65" s="83">
        <v>0</v>
      </c>
      <c r="M65" s="83">
        <v>0</v>
      </c>
      <c r="N65" s="83">
        <v>0</v>
      </c>
      <c r="O65" s="83">
        <v>0</v>
      </c>
      <c r="P65" s="83">
        <v>0</v>
      </c>
      <c r="Q65" s="83">
        <v>0</v>
      </c>
      <c r="R65" s="83">
        <v>0</v>
      </c>
      <c r="S65" s="83">
        <v>0</v>
      </c>
      <c r="T65" s="83">
        <v>0</v>
      </c>
      <c r="U65" s="83">
        <v>0</v>
      </c>
      <c r="V65" s="83">
        <v>0</v>
      </c>
      <c r="W65" s="83">
        <v>0</v>
      </c>
      <c r="X65" s="83">
        <v>0</v>
      </c>
      <c r="Y65" s="83">
        <v>0</v>
      </c>
      <c r="Z65" s="84">
        <f t="shared" si="9"/>
        <v>0</v>
      </c>
      <c r="AA65" s="86"/>
      <c r="AB65" s="83">
        <v>0</v>
      </c>
      <c r="AC65" s="84">
        <v>0</v>
      </c>
      <c r="AD65" s="21"/>
      <c r="AE65" s="21"/>
    </row>
    <row r="66" spans="5:31">
      <c r="E66" s="17" t="s">
        <v>122</v>
      </c>
      <c r="F66" s="18" t="str">
        <f>"ИТОГО необходимая валовая выручка " &amp;IF(nds_val="является"," (без НДС)","")&amp;IF(nds_val="не является"," (c НДС)","")</f>
        <v>ИТОГО необходимая валовая выручка  (c НДС)</v>
      </c>
      <c r="G66" s="19">
        <f>G11+G30+G49+G55+G58</f>
        <v>11939812.330000002</v>
      </c>
      <c r="H66" s="19">
        <f>H11+H30+H49+H55+H58+SUM(H62:H65)</f>
        <v>73123.219999999987</v>
      </c>
      <c r="I66" s="19">
        <f>I11+I30+I49+I55+I58</f>
        <v>61882.743653835692</v>
      </c>
      <c r="J66" s="19">
        <f>J11+J30+J49+J55+J58+SUM(J62:J65)</f>
        <v>63906.294999999998</v>
      </c>
      <c r="K66" s="19">
        <f>K11+K30+K49+K55+K58</f>
        <v>14754245.204084549</v>
      </c>
      <c r="L66" s="19">
        <f>L11+L30+L49+L55+L58+SUM(L62:L65)</f>
        <v>270110</v>
      </c>
      <c r="M66" s="19">
        <f>M11+M30+M49+M55+M58</f>
        <v>76279.076737386364</v>
      </c>
      <c r="N66" s="20">
        <f t="shared" si="3"/>
        <v>123.26388946825297</v>
      </c>
      <c r="O66" s="19">
        <f>O11+O30+O49+O55+O58+SUM(O62:O65)</f>
        <v>270110</v>
      </c>
      <c r="P66" s="19">
        <f>P11+P30+P49+P55+P58</f>
        <v>79697.785359364934</v>
      </c>
      <c r="Q66" s="20">
        <f t="shared" si="4"/>
        <v>104.48184321075162</v>
      </c>
      <c r="R66" s="19">
        <f>R11+R30+R49+R55+R58+SUM(R62:R65)</f>
        <v>270110</v>
      </c>
      <c r="S66" s="19">
        <f>S11+S30+S49+S55+S58</f>
        <v>83832.66745114376</v>
      </c>
      <c r="T66" s="20">
        <f t="shared" si="5"/>
        <v>105.1882019972503</v>
      </c>
      <c r="U66" s="19">
        <f>U11+U30+U49+U55+U58+SUM(U62:U65)</f>
        <v>12095163.091378102</v>
      </c>
      <c r="V66" s="19">
        <f>V11+V30+V49+V55+V58</f>
        <v>65527.051130583342</v>
      </c>
      <c r="W66" s="20">
        <f t="shared" si="6"/>
        <v>105.88905284667635</v>
      </c>
      <c r="X66" s="19">
        <f>X11+X30+X49+X55+X58+SUM(X62:X65)</f>
        <v>12726785.0822479</v>
      </c>
      <c r="Y66" s="19">
        <f>Y11+Y30+Y49+Y55+Y58</f>
        <v>68813.761048390981</v>
      </c>
      <c r="Z66" s="20">
        <f t="shared" si="9"/>
        <v>105.01580623742373</v>
      </c>
      <c r="AA66" s="19">
        <f>AA11+AA30+AA49+AA55+AA58+SUM(AA62:AA65)</f>
        <v>0</v>
      </c>
      <c r="AB66" s="19">
        <f>AB11+AB30+AB49+AB55+AB58</f>
        <v>78528.018727374118</v>
      </c>
      <c r="AC66" s="20">
        <f t="shared" si="7"/>
        <v>119.8406114306628</v>
      </c>
      <c r="AD66" s="21"/>
      <c r="AE66" s="21"/>
    </row>
    <row r="67" spans="5:31">
      <c r="E67" s="17" t="s">
        <v>20</v>
      </c>
      <c r="F67" s="18" t="s">
        <v>123</v>
      </c>
      <c r="G67" s="43"/>
      <c r="H67" s="48"/>
      <c r="I67" s="43">
        <f>I66</f>
        <v>61882.743653835692</v>
      </c>
      <c r="J67" s="43">
        <v>60043</v>
      </c>
      <c r="K67" s="43"/>
      <c r="L67" s="48"/>
      <c r="M67" s="43">
        <f>M66</f>
        <v>76279.076737386364</v>
      </c>
      <c r="N67" s="20">
        <f t="shared" si="3"/>
        <v>123.26388946825297</v>
      </c>
      <c r="O67" s="48"/>
      <c r="P67" s="43">
        <f>P66</f>
        <v>79697.785359364934</v>
      </c>
      <c r="Q67" s="20">
        <f t="shared" si="4"/>
        <v>104.48184321075162</v>
      </c>
      <c r="R67" s="48"/>
      <c r="S67" s="43">
        <f>S66</f>
        <v>83832.66745114376</v>
      </c>
      <c r="T67" s="20">
        <f t="shared" si="5"/>
        <v>105.1882019972503</v>
      </c>
      <c r="U67" s="48"/>
      <c r="V67" s="43">
        <f>V66</f>
        <v>65527.051130583342</v>
      </c>
      <c r="W67" s="20">
        <f t="shared" si="6"/>
        <v>105.88905284667635</v>
      </c>
      <c r="X67" s="48"/>
      <c r="Y67" s="43">
        <f>Y66</f>
        <v>68813.761048390981</v>
      </c>
      <c r="Z67" s="20">
        <f t="shared" si="9"/>
        <v>105.01580623742373</v>
      </c>
      <c r="AA67" s="48"/>
      <c r="AB67" s="43">
        <f>AB66</f>
        <v>78528.018727374118</v>
      </c>
      <c r="AC67" s="20">
        <f t="shared" si="7"/>
        <v>119.8406114306628</v>
      </c>
      <c r="AD67" s="21"/>
      <c r="AE67" s="21"/>
    </row>
    <row r="68" spans="5:31">
      <c r="E68" s="17" t="s">
        <v>124</v>
      </c>
      <c r="F68" s="18" t="s">
        <v>125</v>
      </c>
      <c r="G68" s="49"/>
      <c r="H68" s="49">
        <f>'[2]Таблица 4.1'!Y44</f>
        <v>79.669999999999987</v>
      </c>
      <c r="I68" s="42">
        <f>'[2]Таблица 4.1'!AI39</f>
        <v>79.22</v>
      </c>
      <c r="J68" s="42">
        <v>76.739999999999995</v>
      </c>
      <c r="K68" s="42">
        <f>'[2]Таблица 4.1'!AS39</f>
        <v>77.62</v>
      </c>
      <c r="L68" s="42"/>
      <c r="M68" s="42">
        <f>'[2]Таблица 4.1'!BC39</f>
        <v>79.3</v>
      </c>
      <c r="N68" s="25">
        <f t="shared" si="3"/>
        <v>100.10098459984853</v>
      </c>
      <c r="O68" s="42"/>
      <c r="P68" s="42">
        <f>'[2]Таблица 4.1'!BM39</f>
        <v>79.3</v>
      </c>
      <c r="Q68" s="25">
        <f t="shared" si="4"/>
        <v>100</v>
      </c>
      <c r="R68" s="42"/>
      <c r="S68" s="42">
        <f>'[2]Таблица 4.1'!BW39</f>
        <v>79.3</v>
      </c>
      <c r="T68" s="25">
        <f t="shared" si="5"/>
        <v>100</v>
      </c>
      <c r="U68" s="42"/>
      <c r="V68" s="42">
        <v>79.22</v>
      </c>
      <c r="W68" s="42">
        <f t="shared" si="6"/>
        <v>100</v>
      </c>
      <c r="X68" s="42"/>
      <c r="Y68" s="42">
        <v>79.22</v>
      </c>
      <c r="Z68" s="20">
        <f t="shared" si="9"/>
        <v>100</v>
      </c>
      <c r="AA68" s="43"/>
      <c r="AB68" s="42">
        <v>78.19</v>
      </c>
      <c r="AC68" s="20">
        <f t="shared" si="7"/>
        <v>98.699823276950255</v>
      </c>
      <c r="AD68" s="21"/>
      <c r="AE68" s="21"/>
    </row>
    <row r="69" spans="5:31">
      <c r="E69" s="17" t="s">
        <v>126</v>
      </c>
      <c r="F69" s="50" t="s">
        <v>127</v>
      </c>
      <c r="G69" s="49"/>
      <c r="H69" s="49">
        <f>'[2]Таблица 4.1'!W44</f>
        <v>43.410000000000004</v>
      </c>
      <c r="I69" s="42">
        <f>'[2]Таблица 4.1'!AG39</f>
        <v>46.04</v>
      </c>
      <c r="J69" s="42">
        <v>42.92</v>
      </c>
      <c r="K69" s="42">
        <f>'[2]Таблица 4.1'!AQ39</f>
        <v>44.44</v>
      </c>
      <c r="L69" s="42"/>
      <c r="M69" s="42">
        <f>'[2]Таблица 4.1'!BA39</f>
        <v>46.05</v>
      </c>
      <c r="N69" s="25">
        <f t="shared" si="3"/>
        <v>100.02172024326671</v>
      </c>
      <c r="O69" s="42"/>
      <c r="P69" s="42">
        <f>'[2]Таблица 4.1'!BK39</f>
        <v>46.05</v>
      </c>
      <c r="Q69" s="25">
        <f t="shared" si="4"/>
        <v>100</v>
      </c>
      <c r="R69" s="42"/>
      <c r="S69" s="42">
        <f>'[2]Таблица 4.1'!BU39</f>
        <v>46.05</v>
      </c>
      <c r="T69" s="25">
        <f t="shared" si="5"/>
        <v>100</v>
      </c>
      <c r="U69" s="42"/>
      <c r="V69" s="42">
        <v>46.069989999999997</v>
      </c>
      <c r="W69" s="42">
        <f t="shared" si="6"/>
        <v>100.06513900955689</v>
      </c>
      <c r="X69" s="42"/>
      <c r="Y69" s="42">
        <v>46.069989999999997</v>
      </c>
      <c r="Z69" s="20">
        <f t="shared" si="9"/>
        <v>100</v>
      </c>
      <c r="AA69" s="43"/>
      <c r="AB69" s="42">
        <v>43.759</v>
      </c>
      <c r="AC69" s="20">
        <f t="shared" si="7"/>
        <v>94.983741042704821</v>
      </c>
      <c r="AD69" s="21"/>
      <c r="AE69" s="21"/>
    </row>
    <row r="70" spans="5:31">
      <c r="E70" s="17" t="s">
        <v>128</v>
      </c>
      <c r="F70" s="50" t="s">
        <v>129</v>
      </c>
      <c r="G70" s="49"/>
      <c r="H70" s="49">
        <f>'[2]Таблица 4.1'!X44</f>
        <v>36.26</v>
      </c>
      <c r="I70" s="42">
        <f>'[2]Таблица 4.1'!AH39</f>
        <v>33.18</v>
      </c>
      <c r="J70" s="42">
        <v>33.82</v>
      </c>
      <c r="K70" s="42">
        <f>'[2]Таблица 4.1'!AR39</f>
        <v>33.18</v>
      </c>
      <c r="L70" s="42"/>
      <c r="M70" s="42">
        <f>'[2]Таблица 4.1'!BB39</f>
        <v>33.25</v>
      </c>
      <c r="N70" s="25">
        <f t="shared" si="3"/>
        <v>100.21097046413503</v>
      </c>
      <c r="O70" s="42"/>
      <c r="P70" s="42">
        <f>'[2]Таблица 4.1'!BL39</f>
        <v>33.25</v>
      </c>
      <c r="Q70" s="25">
        <f t="shared" si="4"/>
        <v>100</v>
      </c>
      <c r="R70" s="42"/>
      <c r="S70" s="42">
        <f>'[2]Таблица 4.1'!BV39</f>
        <v>33.25</v>
      </c>
      <c r="T70" s="25">
        <f t="shared" si="5"/>
        <v>100</v>
      </c>
      <c r="U70" s="42"/>
      <c r="V70" s="42">
        <v>33.15</v>
      </c>
      <c r="W70" s="42">
        <f t="shared" si="6"/>
        <v>99.909584086799271</v>
      </c>
      <c r="X70" s="42"/>
      <c r="Y70" s="42">
        <v>33.15</v>
      </c>
      <c r="Z70" s="20">
        <f t="shared" si="9"/>
        <v>100</v>
      </c>
      <c r="AA70" s="43"/>
      <c r="AB70" s="42">
        <v>34.433999999999997</v>
      </c>
      <c r="AC70" s="20">
        <f t="shared" si="7"/>
        <v>103.8733031674208</v>
      </c>
      <c r="AD70" s="21"/>
      <c r="AE70" s="21"/>
    </row>
    <row r="71" spans="5:31">
      <c r="E71" s="17" t="s">
        <v>21</v>
      </c>
      <c r="F71" s="18" t="s">
        <v>130</v>
      </c>
      <c r="G71" s="49">
        <f>IF(G68=0,0,ROUND(G66/G68,2))</f>
        <v>0</v>
      </c>
      <c r="H71" s="49">
        <v>758.16</v>
      </c>
      <c r="I71" s="42">
        <f t="shared" ref="I71:S71" si="15">IF(I68=0,0,ROUND(I66/I68,2))</f>
        <v>781.15</v>
      </c>
      <c r="J71" s="42">
        <v>781.15</v>
      </c>
      <c r="K71" s="42">
        <f t="shared" si="15"/>
        <v>190083.04</v>
      </c>
      <c r="L71" s="42">
        <f t="shared" si="15"/>
        <v>0</v>
      </c>
      <c r="M71" s="42">
        <f t="shared" si="15"/>
        <v>961.91</v>
      </c>
      <c r="N71" s="25">
        <f t="shared" si="3"/>
        <v>123.14024195096974</v>
      </c>
      <c r="O71" s="42">
        <f t="shared" si="15"/>
        <v>0</v>
      </c>
      <c r="P71" s="42">
        <f t="shared" si="15"/>
        <v>1005.02</v>
      </c>
      <c r="Q71" s="25">
        <f t="shared" si="4"/>
        <v>104.48170826792527</v>
      </c>
      <c r="R71" s="42">
        <f t="shared" si="15"/>
        <v>0</v>
      </c>
      <c r="S71" s="42">
        <f t="shared" si="15"/>
        <v>1057.1600000000001</v>
      </c>
      <c r="T71" s="25">
        <f t="shared" si="5"/>
        <v>105.18795645857794</v>
      </c>
      <c r="U71" s="42">
        <f>IF(U68=0,0,ROUND(U66/U68,2))</f>
        <v>0</v>
      </c>
      <c r="V71" s="42">
        <f>IF(V68=0,0,ROUND(V66/V68,2))</f>
        <v>827.15</v>
      </c>
      <c r="W71" s="42">
        <f t="shared" si="6"/>
        <v>105.88875376048135</v>
      </c>
      <c r="X71" s="42">
        <f>IF(X68=0,0,ROUND(X66/X68,2))</f>
        <v>0</v>
      </c>
      <c r="Y71" s="42">
        <f>IF(Y68=0,0,ROUND(Y66/Y68,2))</f>
        <v>868.64</v>
      </c>
      <c r="Z71" s="20">
        <f>IF(V71=0,0,Y71/V71*100)</f>
        <v>105.01601885994076</v>
      </c>
      <c r="AA71" s="43">
        <f>IF(AA68=0,0,ROUND(AA66/AA68,2))</f>
        <v>0</v>
      </c>
      <c r="AB71" s="42">
        <f>IF(AB68=0,0,ROUND(AB66/AB68,2))</f>
        <v>1004.32</v>
      </c>
      <c r="AC71" s="20">
        <f>AB71/V71*100</f>
        <v>121.41933143927946</v>
      </c>
      <c r="AD71" s="21"/>
      <c r="AE71" s="21"/>
    </row>
    <row r="72" spans="5:31">
      <c r="E72" s="17" t="s">
        <v>131</v>
      </c>
      <c r="F72" s="22" t="s">
        <v>127</v>
      </c>
      <c r="G72" s="48"/>
      <c r="H72" s="48"/>
      <c r="I72" s="42">
        <v>758.16</v>
      </c>
      <c r="J72" s="42">
        <v>758.16</v>
      </c>
      <c r="K72" s="42"/>
      <c r="L72" s="24"/>
      <c r="M72" s="24">
        <f>I73</f>
        <v>813.21</v>
      </c>
      <c r="N72" s="25">
        <f>IF(I73=0,0,M72/I73*100)</f>
        <v>100</v>
      </c>
      <c r="O72" s="24"/>
      <c r="P72" s="24">
        <f>M73</f>
        <v>1167.8422928537252</v>
      </c>
      <c r="Q72" s="25">
        <f>IF(M73=0,0,P72/M73*100)</f>
        <v>100</v>
      </c>
      <c r="R72" s="24"/>
      <c r="S72" s="24">
        <f>P73</f>
        <v>779.50820371280861</v>
      </c>
      <c r="T72" s="25">
        <f>IF(P73=0,0,S72/P73*100)</f>
        <v>100</v>
      </c>
      <c r="U72" s="24"/>
      <c r="V72" s="42">
        <f>I73</f>
        <v>813.21</v>
      </c>
      <c r="W72" s="42">
        <f>IF(S73=0,0,V72/S73*100)</f>
        <v>56.406573358937607</v>
      </c>
      <c r="X72" s="42"/>
      <c r="Y72" s="42">
        <f>V73</f>
        <v>846.53015272046298</v>
      </c>
      <c r="Z72" s="20">
        <f>IF(V73=0,0,Y72/V73*100)</f>
        <v>100</v>
      </c>
      <c r="AA72" s="48"/>
      <c r="AB72" s="42">
        <f>Y72</f>
        <v>846.53015272046298</v>
      </c>
      <c r="AC72" s="20">
        <f>AB72/V73*100</f>
        <v>100</v>
      </c>
      <c r="AD72" s="21"/>
      <c r="AE72" s="21"/>
    </row>
    <row r="73" spans="5:31">
      <c r="E73" s="17" t="s">
        <v>132</v>
      </c>
      <c r="F73" s="22" t="s">
        <v>129</v>
      </c>
      <c r="G73" s="48"/>
      <c r="H73" s="48"/>
      <c r="I73" s="42">
        <v>813.21</v>
      </c>
      <c r="J73" s="42">
        <v>813.21</v>
      </c>
      <c r="K73" s="42"/>
      <c r="L73" s="24"/>
      <c r="M73" s="24">
        <f>IF('[2]Таблица 4.1'!BB39=0,0,('Корректировка тарифа КОМБИ'!M66-'Корректировка тарифа КОМБИ'!M72*'[2]Таблица 4.1'!BA39)/'[2]Таблица 4.1'!BB39)</f>
        <v>1167.8422928537252</v>
      </c>
      <c r="N73" s="25">
        <f>IF(M72=0,0,M73/M72*100)</f>
        <v>143.6089439202328</v>
      </c>
      <c r="O73" s="24"/>
      <c r="P73" s="24">
        <f>IF('[2]Таблица 4.1'!BL39=0,0,('Корректировка тарифа КОМБИ'!P66-'Корректировка тарифа КОМБИ'!P72*'[2]Таблица 4.1'!BK39)/'[2]Таблица 4.1'!BL39)</f>
        <v>779.50820371280861</v>
      </c>
      <c r="Q73" s="25">
        <f>IF(P72=0,0,P73/P72*100)</f>
        <v>66.747728565987444</v>
      </c>
      <c r="R73" s="24"/>
      <c r="S73" s="24">
        <f>IF('[2]Таблица 4.1'!BV39=0,0,('Корректировка тарифа КОМБИ'!S66-'Корректировка тарифа КОМБИ'!S72*'[2]Таблица 4.1'!BU39)/'[2]Таблица 4.1'!BV39)</f>
        <v>1441.6936742907947</v>
      </c>
      <c r="T73" s="25">
        <f>IF(S72=0,0,S73/S72*100)</f>
        <v>184.94913426491053</v>
      </c>
      <c r="U73" s="24"/>
      <c r="V73" s="42">
        <f>IF('[2]Таблица 4.1'!CF39=0,0,('Корректировка тарифа КОМБИ'!V66-'Корректировка тарифа КОМБИ'!V72*V69)/V70)</f>
        <v>846.53015272046298</v>
      </c>
      <c r="W73" s="42">
        <f>IF(V72=0,0,V73/V72*100)</f>
        <v>104.0973614097789</v>
      </c>
      <c r="X73" s="42"/>
      <c r="Y73" s="42">
        <f>IF('[2]Таблица 4.1'!CP39=0,0,('Корректировка тарифа КОМБИ'!Y66-'Корректировка тарифа КОМБИ'!Y72*Y69)/Y70)</f>
        <v>899.37029797468415</v>
      </c>
      <c r="Z73" s="20">
        <f>IF(Y72=0,0,Y73/Y72*100)</f>
        <v>106.2419684738235</v>
      </c>
      <c r="AA73" s="48"/>
      <c r="AB73" s="42">
        <f>('Корректировка тарифа КОМБИ'!AB66-('Корректировка тарифа КОМБИ'!AB72*AB69))/AB70</f>
        <v>1204.7599980972116</v>
      </c>
      <c r="AC73" s="20">
        <f>AB73/AB72*100</f>
        <v>142.31743479254914</v>
      </c>
      <c r="AD73" s="21"/>
      <c r="AE73" s="21"/>
    </row>
    <row r="74" spans="5:31" ht="28.5" customHeight="1">
      <c r="E74" s="51"/>
      <c r="F74" s="51" t="s">
        <v>133</v>
      </c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W74" s="51"/>
      <c r="X74" s="51"/>
      <c r="Y74" s="51" t="s">
        <v>134</v>
      </c>
      <c r="Z74" s="51"/>
      <c r="AA74" s="51"/>
      <c r="AB74" s="51"/>
      <c r="AC74" s="51"/>
    </row>
    <row r="75" spans="5:31"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2"/>
      <c r="X75" s="51"/>
      <c r="Y75" s="53"/>
      <c r="Z75" s="51"/>
      <c r="AA75" s="51"/>
      <c r="AB75" s="51"/>
      <c r="AC75" s="51"/>
    </row>
    <row r="76" spans="5:31"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</row>
    <row r="77" spans="5:31"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</row>
    <row r="78" spans="5:31"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</row>
    <row r="79" spans="5:31">
      <c r="E79" s="51"/>
      <c r="F79" s="51"/>
      <c r="G79" s="51"/>
      <c r="H79" s="51"/>
      <c r="I79" s="54"/>
      <c r="J79" s="54"/>
      <c r="K79" s="54"/>
      <c r="L79" s="54"/>
      <c r="M79" s="54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</row>
    <row r="80" spans="5:31">
      <c r="E80" s="51"/>
      <c r="F80" s="51"/>
      <c r="G80" s="51"/>
      <c r="H80" s="51"/>
      <c r="I80" s="55">
        <f>I11+I49</f>
        <v>56692.351518835691</v>
      </c>
      <c r="J80" s="55"/>
      <c r="K80" s="54"/>
      <c r="L80" s="54"/>
      <c r="M80" s="55">
        <f>M11+M49</f>
        <v>68319.575321386365</v>
      </c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</row>
    <row r="81" spans="5:29"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</row>
    <row r="82" spans="5:29"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</row>
    <row r="83" spans="5:29">
      <c r="E83" s="4"/>
    </row>
    <row r="84" spans="5:29">
      <c r="E84" s="4"/>
    </row>
    <row r="85" spans="5:29">
      <c r="E85" s="4"/>
    </row>
    <row r="86" spans="5:29"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</row>
    <row r="87" spans="5:29">
      <c r="E87" s="1"/>
    </row>
    <row r="88" spans="5:29">
      <c r="E88" s="1"/>
    </row>
    <row r="89" spans="5:29">
      <c r="E89" s="56"/>
      <c r="F89" s="56"/>
      <c r="G89" s="57"/>
    </row>
  </sheetData>
  <mergeCells count="17">
    <mergeCell ref="E5:Z5"/>
    <mergeCell ref="F6:Z6"/>
    <mergeCell ref="AD8:AD9"/>
    <mergeCell ref="AE8:AE9"/>
    <mergeCell ref="E8:E9"/>
    <mergeCell ref="F8:F9"/>
    <mergeCell ref="G8:G9"/>
    <mergeCell ref="H8:H9"/>
    <mergeCell ref="I8:I9"/>
    <mergeCell ref="J8:J9"/>
    <mergeCell ref="K8:K9"/>
    <mergeCell ref="L8:N8"/>
    <mergeCell ref="E76:N76"/>
    <mergeCell ref="O8:Q8"/>
    <mergeCell ref="R8:T8"/>
    <mergeCell ref="U8:W8"/>
    <mergeCell ref="AA8:AC8"/>
  </mergeCells>
  <dataValidations count="3">
    <dataValidation type="decimal" allowBlank="1" showErrorMessage="1" errorTitle="Ошибка" error="Допускается ввод только действительных чисел!" sqref="S67 X68:X73 G62:Y65 U71:V73 M67:M70 G67 R55 U68:U70 X55 U55 V67:V70 Y67:Y73 AA55 AB67 O68:P73 J71:M71 J68:L70 I72:M73 R68:S73 P67 I67 G68:I71 K67 O55 L55 AA68:AB73 G55 K49:K54 AA62:AB65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AD58:AE73 AD11:AE27 AD30:AE55">
      <formula1>900</formula1>
    </dataValidation>
    <dataValidation allowBlank="1" showInputMessage="1" showErrorMessage="1" prompt="скрыть/отобразить детали" sqref="D11 D49 D58 D30"/>
  </dataValidations>
  <pageMargins left="0.47244094488188981" right="0.39370078740157483" top="0.11811023622047245" bottom="3.937007874015748E-2" header="0.31496062992125984" footer="0.27559055118110237"/>
  <pageSetup paperSize="9" scale="58" fitToHeight="2" orientation="portrait" r:id="rId1"/>
  <rowBreaks count="1" manualBreakCount="1">
    <brk id="76" max="2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D1:AE90"/>
  <sheetViews>
    <sheetView tabSelected="1" topLeftCell="D3" zoomScaleNormal="100" zoomScaleSheetLayoutView="115" workbookViewId="0">
      <pane xSplit="3" ySplit="8" topLeftCell="I60" activePane="bottomRight" state="frozen"/>
      <selection activeCell="F358" sqref="F358:BC358"/>
      <selection pane="topRight" activeCell="F358" sqref="F358:BC358"/>
      <selection pane="bottomLeft" activeCell="F358" sqref="F358:BC358"/>
      <selection pane="bottomRight" activeCell="AH65" sqref="AH65"/>
    </sheetView>
  </sheetViews>
  <sheetFormatPr defaultColWidth="9" defaultRowHeight="12.75"/>
  <cols>
    <col min="1" max="3" width="0" style="1" hidden="1" customWidth="1"/>
    <col min="4" max="4" width="3.5703125" style="1" customWidth="1"/>
    <col min="5" max="5" width="10.28515625" style="2" customWidth="1"/>
    <col min="6" max="6" width="73.5703125" style="1" customWidth="1"/>
    <col min="7" max="7" width="3" style="1" hidden="1" customWidth="1"/>
    <col min="8" max="8" width="13.5703125" style="1" hidden="1" customWidth="1"/>
    <col min="9" max="9" width="12.42578125" style="1" customWidth="1"/>
    <col min="10" max="11" width="13.5703125" style="1" hidden="1" customWidth="1"/>
    <col min="12" max="12" width="12.42578125" style="1" customWidth="1"/>
    <col min="13" max="13" width="14.5703125" style="1" hidden="1" customWidth="1"/>
    <col min="14" max="14" width="8.85546875" style="1" hidden="1" customWidth="1"/>
    <col min="15" max="15" width="13.5703125" style="1" hidden="1" customWidth="1"/>
    <col min="16" max="16" width="14.42578125" style="1" hidden="1" customWidth="1"/>
    <col min="17" max="17" width="9.85546875" style="1" hidden="1" customWidth="1"/>
    <col min="18" max="18" width="0.42578125" style="1" hidden="1" customWidth="1"/>
    <col min="19" max="19" width="14" style="1" hidden="1" customWidth="1"/>
    <col min="20" max="20" width="8.85546875" style="1" hidden="1" customWidth="1"/>
    <col min="21" max="21" width="1" style="1" hidden="1" customWidth="1"/>
    <col min="22" max="22" width="12.42578125" style="1" customWidth="1"/>
    <col min="23" max="23" width="8.85546875" style="1" customWidth="1"/>
    <col min="24" max="24" width="13.5703125" style="1" hidden="1" customWidth="1"/>
    <col min="25" max="25" width="15.85546875" style="1" customWidth="1"/>
    <col min="26" max="26" width="9.28515625" style="1" customWidth="1"/>
    <col min="27" max="27" width="13.5703125" style="1" hidden="1" customWidth="1"/>
    <col min="28" max="28" width="13.5703125" style="1" customWidth="1"/>
    <col min="29" max="29" width="10.28515625" style="1" customWidth="1"/>
    <col min="30" max="30" width="16.140625" style="1" hidden="1" customWidth="1"/>
    <col min="31" max="31" width="14.42578125" style="1" hidden="1" customWidth="1"/>
    <col min="32" max="16384" width="9" style="1"/>
  </cols>
  <sheetData>
    <row r="1" spans="4:31" hidden="1"/>
    <row r="2" spans="4:31" hidden="1"/>
    <row r="3" spans="4:31" ht="3.75" customHeight="1">
      <c r="S3" s="3"/>
      <c r="AB3" s="3"/>
    </row>
    <row r="4" spans="4:31" ht="10.15" customHeight="1">
      <c r="E4" s="4"/>
    </row>
    <row r="5" spans="4:31" ht="16.5" customHeight="1">
      <c r="E5" s="100" t="s">
        <v>144</v>
      </c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5"/>
      <c r="AB5" s="5"/>
      <c r="AC5" s="5"/>
    </row>
    <row r="6" spans="4:31" ht="25.5" customHeight="1">
      <c r="E6" s="6"/>
      <c r="F6" s="100" t="str">
        <f>IF(org="","Не определено",org&amp;" ("&amp;inn&amp;" \ "&amp;kpp&amp;")")&amp;"; Муниципальное образование - "&amp;IF(mo="","Не определено",mo)&amp;"; Муниципальный район - "&amp;IF(mr="","Не определено",mr)&amp;"; "&amp;IF(tax_system="общая","общая система налогообложения",IF(tax_system="упрощенная","упрощенная система налогообложения",""))</f>
        <v xml:space="preserve">Филиал ПАО "ОГК-2" Новочеркасская ГРЭС (2607018122 \ 615043001); Муниципальное образование - Город Новочеркасск; Муниципальный район - Город Новочеркасск; </v>
      </c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5"/>
      <c r="AB6" s="5"/>
      <c r="AC6" s="5"/>
    </row>
    <row r="7" spans="4:31" ht="13.5" customHeight="1">
      <c r="E7" s="4"/>
      <c r="G7" s="7"/>
      <c r="S7" s="3"/>
      <c r="AB7" s="3" t="s">
        <v>0</v>
      </c>
    </row>
    <row r="8" spans="4:31" ht="30" customHeight="1">
      <c r="E8" s="97" t="s">
        <v>1</v>
      </c>
      <c r="F8" s="98" t="s">
        <v>2</v>
      </c>
      <c r="G8" s="99" t="str">
        <f>"Утверждено на " &amp; IF(ISNUMBER(god),god-2,"xxxx") &amp; " год (справочно)"</f>
        <v>Утверждено на 2014 год (справочно)</v>
      </c>
      <c r="H8" s="99" t="str">
        <f>"Факт " &amp; IF(ISNUMBER(god),god-2,"xxxx") &amp; " года (справочно)"</f>
        <v>Факт 2014 года (справочно)</v>
      </c>
      <c r="I8" s="99" t="str">
        <f>"Утверждено " &amp; IF(ISNUMBER(god),god-1,"xxxx") &amp; " год (справочно)"</f>
        <v>Утверждено 2015 год (справочно)</v>
      </c>
      <c r="J8" s="99" t="str">
        <f>"Базовый период " &amp; IF(ISNUMBER(god),god-1,"xxxx") &amp; " год (справочно)"</f>
        <v>Базовый период 2015 год (справочно)</v>
      </c>
      <c r="K8" s="99" t="str">
        <f>"Заявка ТСО на "&amp;IF(ISNUMBER(god),god,"xxxx") &amp; " год (год i0)"</f>
        <v>Заявка ТСО на 2016 год (год i0)</v>
      </c>
      <c r="L8" s="99" t="s">
        <v>135</v>
      </c>
      <c r="M8" s="99"/>
      <c r="N8" s="99"/>
      <c r="O8" s="88" t="str">
        <f>"Заявка ТСО на "&amp;IF(ISNUMBER(god),god+1,"xxxx") &amp; " год (год i0 + 1)"</f>
        <v>Заявка ТСО на 2017 год (год i0 + 1)</v>
      </c>
      <c r="P8" s="89"/>
      <c r="Q8" s="90"/>
      <c r="R8" s="88" t="str">
        <f>"Заявка ТСО на "&amp;IF(ISNUMBER(god),god+2,"xxxx") &amp; " год (год i1)"</f>
        <v>Заявка ТСО на 2018 год (год i1)</v>
      </c>
      <c r="S8" s="89"/>
      <c r="T8" s="90"/>
      <c r="U8" s="88" t="s">
        <v>136</v>
      </c>
      <c r="V8" s="89"/>
      <c r="W8" s="90"/>
      <c r="X8" s="58" t="s">
        <v>137</v>
      </c>
      <c r="Y8" s="88" t="s">
        <v>137</v>
      </c>
      <c r="Z8" s="90"/>
      <c r="AA8" s="101" t="s">
        <v>138</v>
      </c>
      <c r="AB8" s="94"/>
      <c r="AC8" s="95"/>
      <c r="AD8" s="96" t="s">
        <v>7</v>
      </c>
      <c r="AE8" s="96" t="s">
        <v>8</v>
      </c>
    </row>
    <row r="9" spans="4:31" ht="35.25" customHeight="1">
      <c r="E9" s="97"/>
      <c r="F9" s="98"/>
      <c r="G9" s="99"/>
      <c r="H9" s="99"/>
      <c r="I9" s="99"/>
      <c r="J9" s="99"/>
      <c r="K9" s="99" t="s">
        <v>9</v>
      </c>
      <c r="L9" s="99"/>
      <c r="M9" s="99" t="s">
        <v>10</v>
      </c>
      <c r="N9" s="99" t="str">
        <f>"Изм. к "  &amp; IF(ISNUMBER(god),god-1,"xxxx") &amp; " году, %"</f>
        <v>Изм. к 2015 году, %</v>
      </c>
      <c r="O9" s="11" t="s">
        <v>11</v>
      </c>
      <c r="P9" s="11" t="s">
        <v>10</v>
      </c>
      <c r="Q9" s="12" t="str">
        <f>"Изм. к "  &amp; IF(ISNUMBER(god),god,"xxxx") &amp; " году, %"</f>
        <v>Изм. к 2016 году, %</v>
      </c>
      <c r="R9" s="11" t="s">
        <v>12</v>
      </c>
      <c r="S9" s="11" t="s">
        <v>10</v>
      </c>
      <c r="T9" s="12" t="str">
        <f>"Изм. к "  &amp; IF(ISNUMBER(god),god+1,"xxxx") &amp; " году, %"</f>
        <v>Изм. к 2017 году, %</v>
      </c>
      <c r="U9" s="11" t="s">
        <v>9</v>
      </c>
      <c r="V9" s="11" t="s">
        <v>13</v>
      </c>
      <c r="W9" s="12" t="str">
        <f>"Изм. к "  &amp; IF(ISNUMBER(god),god-1,"xxxx") &amp; " году, %"</f>
        <v>Изм. к 2015 году, %</v>
      </c>
      <c r="X9" s="11" t="s">
        <v>11</v>
      </c>
      <c r="Y9" s="11" t="s">
        <v>14</v>
      </c>
      <c r="Z9" s="12" t="str">
        <f>"Изм. к "  &amp; IF(ISNUMBER(god),god,"xxxx") &amp; " году, %"</f>
        <v>Изм. к 2016 году, %</v>
      </c>
      <c r="AA9" s="11" t="s">
        <v>12</v>
      </c>
      <c r="AB9" s="11" t="s">
        <v>15</v>
      </c>
      <c r="AC9" s="12" t="s">
        <v>150</v>
      </c>
      <c r="AD9" s="96"/>
      <c r="AE9" s="96"/>
    </row>
    <row r="10" spans="4:31">
      <c r="E10" s="15" t="s">
        <v>24</v>
      </c>
      <c r="F10" s="15" t="s">
        <v>61</v>
      </c>
      <c r="G10" s="15">
        <f t="shared" ref="G10:AC10" si="0">F10+1</f>
        <v>3</v>
      </c>
      <c r="H10" s="15" t="s">
        <v>16</v>
      </c>
      <c r="I10" s="15" t="s">
        <v>16</v>
      </c>
      <c r="J10" s="15">
        <f t="shared" si="0"/>
        <v>4</v>
      </c>
      <c r="K10" s="15">
        <f t="shared" si="0"/>
        <v>5</v>
      </c>
      <c r="L10" s="15" t="s">
        <v>105</v>
      </c>
      <c r="M10" s="15" t="s">
        <v>17</v>
      </c>
      <c r="N10" s="15">
        <f t="shared" si="0"/>
        <v>6</v>
      </c>
      <c r="O10" s="15">
        <f t="shared" si="0"/>
        <v>7</v>
      </c>
      <c r="P10" s="15" t="s">
        <v>18</v>
      </c>
      <c r="Q10" s="15">
        <f t="shared" si="0"/>
        <v>8</v>
      </c>
      <c r="R10" s="15">
        <f t="shared" si="0"/>
        <v>9</v>
      </c>
      <c r="S10" s="15" t="s">
        <v>19</v>
      </c>
      <c r="T10" s="15">
        <f t="shared" si="0"/>
        <v>10</v>
      </c>
      <c r="U10" s="15">
        <f t="shared" si="0"/>
        <v>11</v>
      </c>
      <c r="V10" s="15" t="s">
        <v>17</v>
      </c>
      <c r="W10" s="15" t="s">
        <v>116</v>
      </c>
      <c r="X10" s="15">
        <f t="shared" si="0"/>
        <v>7</v>
      </c>
      <c r="Y10" s="15" t="s">
        <v>18</v>
      </c>
      <c r="Z10" s="15">
        <f t="shared" si="0"/>
        <v>8</v>
      </c>
      <c r="AA10" s="15">
        <f t="shared" si="0"/>
        <v>9</v>
      </c>
      <c r="AB10" s="15" t="s">
        <v>19</v>
      </c>
      <c r="AC10" s="15">
        <f t="shared" si="0"/>
        <v>10</v>
      </c>
      <c r="AD10" s="15">
        <f>S10+1</f>
        <v>10</v>
      </c>
      <c r="AE10" s="15">
        <f>T10+1</f>
        <v>11</v>
      </c>
    </row>
    <row r="11" spans="4:31" ht="19.5" customHeight="1">
      <c r="D11" s="16" t="s">
        <v>23</v>
      </c>
      <c r="E11" s="17" t="s">
        <v>24</v>
      </c>
      <c r="F11" s="18" t="s">
        <v>25</v>
      </c>
      <c r="G11" s="19">
        <f>SUM(G12:G16)+SUM(G23:G27)</f>
        <v>20274.739999999994</v>
      </c>
      <c r="H11" s="19">
        <f t="shared" ref="H11:S11" si="1">SUM(H12:H16)+SUM(H23:H27)</f>
        <v>31920.69</v>
      </c>
      <c r="I11" s="19">
        <f t="shared" si="1"/>
        <v>20883.29</v>
      </c>
      <c r="J11" s="19">
        <f>SUM(J12:J16)+SUM(J23:J27)</f>
        <v>14644.09</v>
      </c>
      <c r="K11" s="19">
        <f t="shared" si="1"/>
        <v>0</v>
      </c>
      <c r="L11" s="19">
        <f>SUM(L12:L16)+SUM(L23:L27)</f>
        <v>21217.605000000003</v>
      </c>
      <c r="M11" s="19">
        <f t="shared" si="1"/>
        <v>28261.46</v>
      </c>
      <c r="N11" s="20">
        <f>IF(I11=0,0,M11/I11*100)</f>
        <v>135.33049629632112</v>
      </c>
      <c r="O11" s="19">
        <f t="shared" si="1"/>
        <v>0</v>
      </c>
      <c r="P11" s="19">
        <f t="shared" si="1"/>
        <v>29392.272189530362</v>
      </c>
      <c r="Q11" s="20">
        <f>IF(M11=0,0,P11/M11*100)</f>
        <v>104.00125184449197</v>
      </c>
      <c r="R11" s="19">
        <f t="shared" si="1"/>
        <v>0</v>
      </c>
      <c r="S11" s="19">
        <f t="shared" si="1"/>
        <v>30890.974568746795</v>
      </c>
      <c r="T11" s="20">
        <f>IF(P11=0,0,S11/P11*100)</f>
        <v>105.09896740732509</v>
      </c>
      <c r="U11" s="19">
        <f>SUM(U12:U16)+SUM(U23:U27)</f>
        <v>16211.9773871664</v>
      </c>
      <c r="V11" s="19">
        <f>SUM(V12:V16)+SUM(V23:V27)</f>
        <v>22375.243413502227</v>
      </c>
      <c r="W11" s="20">
        <f>IF(I11=0,0,V11/I11*100)</f>
        <v>107.14424505670431</v>
      </c>
      <c r="X11" s="19">
        <f>SUM(X12:X16)+SUM(X23:X27)</f>
        <v>17094.229143581648</v>
      </c>
      <c r="Y11" s="19">
        <f>SUM(Y12:Y16)+SUM(Y23:Y27)</f>
        <v>23436.267531485359</v>
      </c>
      <c r="Z11" s="20">
        <f>IF(V11=0,0,Y11/V11*100)</f>
        <v>104.74195564434781</v>
      </c>
      <c r="AA11" s="19">
        <f>SUM(AA12:AA16)+SUM(AA23:AA27)</f>
        <v>0</v>
      </c>
      <c r="AB11" s="19">
        <f>SUM(AB12:AB16)+SUM(AB23:AB27)</f>
        <v>23717.758018312365</v>
      </c>
      <c r="AC11" s="20">
        <f>AB11/V11*100</f>
        <v>106.00000000000003</v>
      </c>
      <c r="AD11" s="21"/>
      <c r="AE11" s="21"/>
    </row>
    <row r="12" spans="4:31" ht="18" customHeight="1">
      <c r="E12" s="17" t="s">
        <v>26</v>
      </c>
      <c r="F12" s="22" t="s">
        <v>27</v>
      </c>
      <c r="G12" s="23">
        <v>3465.79</v>
      </c>
      <c r="H12" s="23">
        <v>6332.6</v>
      </c>
      <c r="I12" s="24">
        <v>2957.6</v>
      </c>
      <c r="J12" s="24">
        <f>'[1]Таблица 5.1'!J11</f>
        <v>2800</v>
      </c>
      <c r="K12" s="24">
        <f>'[1]Таблица 5.1'!K11</f>
        <v>0</v>
      </c>
      <c r="L12" s="24">
        <v>3615.0949999999998</v>
      </c>
      <c r="M12" s="24">
        <v>4925.5</v>
      </c>
      <c r="N12" s="25">
        <f t="shared" ref="N12:N71" si="2">IF(I12=0,0,M12/I12*100)</f>
        <v>166.53705707330269</v>
      </c>
      <c r="O12" s="24">
        <f>'[1]Таблица 5.1'!M11</f>
        <v>0</v>
      </c>
      <c r="P12" s="24">
        <v>5122.5200000000004</v>
      </c>
      <c r="Q12" s="25">
        <f t="shared" ref="Q12:Q71" si="3">IF(M12=0,0,P12/M12*100)</f>
        <v>104</v>
      </c>
      <c r="R12" s="24">
        <f>'[1]Таблица 5.1'!O11</f>
        <v>0</v>
      </c>
      <c r="S12" s="24">
        <v>5383.77</v>
      </c>
      <c r="T12" s="25">
        <f t="shared" ref="T12:T71" si="4">IF(P12=0,0,S12/P12*100)</f>
        <v>105.1000288920297</v>
      </c>
      <c r="U12" s="24">
        <f>'[1]Таблица 5.1'!T11</f>
        <v>1945.4355</v>
      </c>
      <c r="V12" s="24">
        <f>'[1]Таблица 5.1'!R11+'[1]Смета комбин'!U12*0.91698+46.97</f>
        <v>3288.7373054539999</v>
      </c>
      <c r="W12" s="20">
        <f t="shared" ref="W12:W71" si="5">IF(I12=0,0,V12/I12*100)</f>
        <v>111.19614908892346</v>
      </c>
      <c r="X12" s="23">
        <f>'[1]Таблица 5.1'!V11</f>
        <v>2051.3056135511247</v>
      </c>
      <c r="Y12" s="24">
        <f>V12*1.058-50</f>
        <v>3429.4840691703321</v>
      </c>
      <c r="Z12" s="20">
        <f>IF(V12=0,0,Y12/V12*100)</f>
        <v>104.2796596579155</v>
      </c>
      <c r="AA12" s="23">
        <f>'[1]Таблица 5.1'!X11</f>
        <v>0</v>
      </c>
      <c r="AB12" s="24">
        <f>V12*1.06</f>
        <v>3486.0615437812398</v>
      </c>
      <c r="AC12" s="20">
        <f t="shared" ref="AC12:AC27" si="6">AB12/V12*100</f>
        <v>106</v>
      </c>
      <c r="AD12" s="21"/>
      <c r="AE12" s="21"/>
    </row>
    <row r="13" spans="4:31" ht="18" customHeight="1">
      <c r="E13" s="17" t="s">
        <v>28</v>
      </c>
      <c r="F13" s="22" t="s">
        <v>29</v>
      </c>
      <c r="G13" s="23">
        <v>5437.47</v>
      </c>
      <c r="H13" s="23">
        <v>7585.6</v>
      </c>
      <c r="I13" s="24">
        <v>5181.0600000000004</v>
      </c>
      <c r="J13" s="24">
        <f>'[1]Таблица 5.1'!J12</f>
        <v>2813</v>
      </c>
      <c r="K13" s="24">
        <f>'[1]Таблица 5.1'!K12</f>
        <v>0</v>
      </c>
      <c r="L13" s="24">
        <v>5291.9049999999997</v>
      </c>
      <c r="M13" s="24">
        <v>6684.78</v>
      </c>
      <c r="N13" s="25">
        <f t="shared" si="2"/>
        <v>129.0234044770761</v>
      </c>
      <c r="O13" s="24">
        <f>'[1]Таблица 5.1'!M12</f>
        <v>0</v>
      </c>
      <c r="P13" s="24">
        <v>6952.17</v>
      </c>
      <c r="Q13" s="25">
        <f t="shared" si="3"/>
        <v>103.9999820487735</v>
      </c>
      <c r="R13" s="24">
        <f>'[1]Таблица 5.1'!O12</f>
        <v>0</v>
      </c>
      <c r="S13" s="24">
        <v>7306.73</v>
      </c>
      <c r="T13" s="25">
        <f t="shared" si="4"/>
        <v>105.09999036272126</v>
      </c>
      <c r="U13" s="24">
        <f>'[1]Таблица 5.1'!T12</f>
        <v>3817.1516999999994</v>
      </c>
      <c r="V13" s="24">
        <f>'[1]Таблица 5.1'!R12+'[1]Смета комбин'!U13*0.91698</f>
        <v>5651.9928245000001</v>
      </c>
      <c r="W13" s="20">
        <f t="shared" si="5"/>
        <v>109.08950725334196</v>
      </c>
      <c r="X13" s="23">
        <f>'[1]Таблица 5.1'!V12</f>
        <v>4024.8801412260741</v>
      </c>
      <c r="Y13" s="24">
        <f>V13*1.058</f>
        <v>5979.8084083210006</v>
      </c>
      <c r="Z13" s="20">
        <f>IF(V13=0,0,Y13/V13*100)</f>
        <v>105.80000000000001</v>
      </c>
      <c r="AA13" s="23">
        <f>'[1]Таблица 5.1'!X12</f>
        <v>0</v>
      </c>
      <c r="AB13" s="24">
        <f>V13*1.06</f>
        <v>5991.1123939700001</v>
      </c>
      <c r="AC13" s="20">
        <f t="shared" si="6"/>
        <v>106</v>
      </c>
      <c r="AD13" s="21"/>
      <c r="AE13" s="21"/>
    </row>
    <row r="14" spans="4:31" ht="15.75" customHeight="1">
      <c r="E14" s="17" t="s">
        <v>30</v>
      </c>
      <c r="F14" s="22" t="s">
        <v>31</v>
      </c>
      <c r="G14" s="23">
        <v>8845.09</v>
      </c>
      <c r="H14" s="23">
        <v>11405.4</v>
      </c>
      <c r="I14" s="24">
        <v>8666.4500000000007</v>
      </c>
      <c r="J14" s="24">
        <f>'[1]Таблица 5.1'!J13</f>
        <v>5769.15</v>
      </c>
      <c r="K14" s="24">
        <f>'[1]Таблица 5.1'!K13</f>
        <v>0</v>
      </c>
      <c r="L14" s="24">
        <v>9038.3279999999995</v>
      </c>
      <c r="M14" s="24">
        <v>10031.75</v>
      </c>
      <c r="N14" s="25">
        <f t="shared" si="2"/>
        <v>115.75385538484615</v>
      </c>
      <c r="O14" s="24">
        <f>'[1]Таблица 5.1'!M13</f>
        <v>0</v>
      </c>
      <c r="P14" s="24">
        <v>10433.02</v>
      </c>
      <c r="Q14" s="25">
        <f t="shared" si="3"/>
        <v>104</v>
      </c>
      <c r="R14" s="24">
        <f>'[1]Таблица 5.1'!O13</f>
        <v>0</v>
      </c>
      <c r="S14" s="24">
        <v>10965.1</v>
      </c>
      <c r="T14" s="25">
        <f t="shared" si="4"/>
        <v>105.09996146849139</v>
      </c>
      <c r="U14" s="24">
        <f>'[1]Таблица 5.1'!T13</f>
        <v>6740.9217371664008</v>
      </c>
      <c r="V14" s="24">
        <f>'[1]Таблица 5.1'!R13+'[1]Смета комбин'!U14*0.91698+50.05</f>
        <v>9406.2676968379565</v>
      </c>
      <c r="W14" s="20">
        <f t="shared" si="5"/>
        <v>108.53657145472432</v>
      </c>
      <c r="X14" s="23">
        <f>'[1]Таблица 5.1'!V13</f>
        <v>7107.761012872561</v>
      </c>
      <c r="Y14" s="24">
        <f>V14*1.058-100</f>
        <v>9851.8312232545577</v>
      </c>
      <c r="Z14" s="20">
        <f>IF(V14=0,0,Y14/V14*100)</f>
        <v>104.73687907655854</v>
      </c>
      <c r="AA14" s="23">
        <f>'[1]Таблица 5.1'!X13</f>
        <v>0</v>
      </c>
      <c r="AB14" s="24">
        <f>V14*1.06</f>
        <v>9970.6437586482352</v>
      </c>
      <c r="AC14" s="20">
        <f t="shared" si="6"/>
        <v>106</v>
      </c>
      <c r="AD14" s="21"/>
      <c r="AE14" s="21"/>
    </row>
    <row r="15" spans="4:31" ht="27.75" customHeight="1">
      <c r="E15" s="17" t="s">
        <v>32</v>
      </c>
      <c r="F15" s="22" t="s">
        <v>33</v>
      </c>
      <c r="G15" s="23">
        <v>2034.42</v>
      </c>
      <c r="H15" s="23">
        <v>4187.5</v>
      </c>
      <c r="I15" s="24">
        <v>3583.04</v>
      </c>
      <c r="J15" s="24">
        <f>'[1]Таблица 5.1'!J14</f>
        <v>2220.7399999999998</v>
      </c>
      <c r="K15" s="24">
        <f>'[1]Таблица 5.1'!K14</f>
        <v>0</v>
      </c>
      <c r="L15" s="24">
        <v>1827.4</v>
      </c>
      <c r="M15" s="24">
        <v>3015.95</v>
      </c>
      <c r="N15" s="25">
        <f t="shared" si="2"/>
        <v>84.172936947396622</v>
      </c>
      <c r="O15" s="24">
        <f>'[1]Таблица 5.1'!M14</f>
        <v>0</v>
      </c>
      <c r="P15" s="24">
        <f>'[1]Таблица 5.1'!N14+'[1]Смета комбин'!O15*0.916</f>
        <v>3136.8999574678483</v>
      </c>
      <c r="Q15" s="25">
        <f t="shared" si="3"/>
        <v>104.01034358884758</v>
      </c>
      <c r="R15" s="24">
        <f>'[1]Таблица 5.1'!O14</f>
        <v>0</v>
      </c>
      <c r="S15" s="24">
        <v>3296.56</v>
      </c>
      <c r="T15" s="25">
        <f t="shared" si="4"/>
        <v>105.0897397015183</v>
      </c>
      <c r="U15" s="24">
        <f>'[1]Таблица 5.1'!T14</f>
        <v>2471.7797999999998</v>
      </c>
      <c r="V15" s="24">
        <f>'[1]Таблица 5.1'!R14+'[1]Смета комбин'!U15*0.91698+496.62</f>
        <v>3212.3809598026146</v>
      </c>
      <c r="W15" s="20">
        <f t="shared" si="5"/>
        <v>89.655179953408691</v>
      </c>
      <c r="X15" s="23">
        <f>'[1]Таблица 5.1'!V14</f>
        <v>2606.2934387710498</v>
      </c>
      <c r="Y15" s="24">
        <f>V15*1.058-136.74+50</f>
        <v>3311.9590554711667</v>
      </c>
      <c r="Z15" s="20">
        <f>IF(V15=0,0,Y15/V15*100)</f>
        <v>103.09982212304828</v>
      </c>
      <c r="AA15" s="23">
        <f>'[1]Таблица 5.1'!X14</f>
        <v>0</v>
      </c>
      <c r="AB15" s="24">
        <f>V15*1.06</f>
        <v>3405.1238173907718</v>
      </c>
      <c r="AC15" s="20">
        <f t="shared" si="6"/>
        <v>106</v>
      </c>
      <c r="AD15" s="21"/>
      <c r="AE15" s="21"/>
    </row>
    <row r="16" spans="4:31" ht="24" customHeight="1">
      <c r="E16" s="17" t="s">
        <v>34</v>
      </c>
      <c r="F16" s="22" t="s">
        <v>35</v>
      </c>
      <c r="G16" s="23">
        <v>426.12</v>
      </c>
      <c r="H16" s="23">
        <v>798.6</v>
      </c>
      <c r="I16" s="24">
        <v>438.57</v>
      </c>
      <c r="J16" s="24">
        <f>'[1]Таблица 5.1'!J15</f>
        <v>1041.1999999999998</v>
      </c>
      <c r="K16" s="24">
        <f>'[1]Таблица 5.1'!K15</f>
        <v>0</v>
      </c>
      <c r="L16" s="24">
        <f>L17+L18+L19+L20+L21+L22</f>
        <v>741.38800000000003</v>
      </c>
      <c r="M16" s="24">
        <v>3400.56</v>
      </c>
      <c r="N16" s="25">
        <f t="shared" si="2"/>
        <v>775.37451262056231</v>
      </c>
      <c r="O16" s="24">
        <f>'[1]Таблица 5.1'!M15</f>
        <v>0</v>
      </c>
      <c r="P16" s="24">
        <v>3536.58</v>
      </c>
      <c r="Q16" s="25">
        <f t="shared" si="3"/>
        <v>103.99992942338909</v>
      </c>
      <c r="R16" s="24">
        <f>'[1]Таблица 5.1'!O15</f>
        <v>0</v>
      </c>
      <c r="S16" s="24">
        <v>3716.94</v>
      </c>
      <c r="T16" s="25">
        <f t="shared" si="4"/>
        <v>105.09984222045028</v>
      </c>
      <c r="U16" s="24">
        <f>'[1]Таблица 5.1'!T15</f>
        <v>1158.7838999999999</v>
      </c>
      <c r="V16" s="24">
        <f>V17+V18+V19+V20+V21+V22</f>
        <v>649.56950686044024</v>
      </c>
      <c r="W16" s="20">
        <f t="shared" si="5"/>
        <v>148.11079345610511</v>
      </c>
      <c r="X16" s="23">
        <f>'[1]Таблица 5.1'!V15</f>
        <v>1221.8446301420249</v>
      </c>
      <c r="Y16" s="24">
        <f t="shared" ref="Y16:Y27" si="7">V16*1.058</f>
        <v>687.24453825834576</v>
      </c>
      <c r="Z16" s="20">
        <f t="shared" ref="Z16:Z70" si="8">IF(V16=0,0,Y16/V16*100)</f>
        <v>105.80000000000001</v>
      </c>
      <c r="AA16" s="23">
        <f>'[1]Таблица 5.1'!X15</f>
        <v>0</v>
      </c>
      <c r="AB16" s="24">
        <f t="shared" ref="AB16:AB27" si="9">V16*1.06</f>
        <v>688.5436772720667</v>
      </c>
      <c r="AC16" s="20">
        <f t="shared" si="6"/>
        <v>106</v>
      </c>
      <c r="AD16" s="21"/>
      <c r="AE16" s="21"/>
    </row>
    <row r="17" spans="4:31" ht="14.25" customHeight="1">
      <c r="E17" s="17" t="s">
        <v>36</v>
      </c>
      <c r="F17" s="27" t="s">
        <v>37</v>
      </c>
      <c r="G17" s="23">
        <v>12.73</v>
      </c>
      <c r="H17" s="23">
        <v>13.5</v>
      </c>
      <c r="I17" s="24">
        <v>10.937315479999999</v>
      </c>
      <c r="J17" s="24">
        <f>'[1]Таблица 5.1'!J16</f>
        <v>0</v>
      </c>
      <c r="K17" s="24">
        <f>'[1]Таблица 5.1'!K16</f>
        <v>0</v>
      </c>
      <c r="L17" s="24">
        <v>12.349</v>
      </c>
      <c r="M17" s="24">
        <v>18.809999999999999</v>
      </c>
      <c r="N17" s="25">
        <f t="shared" si="2"/>
        <v>171.98004422928105</v>
      </c>
      <c r="O17" s="24">
        <f>'[1]Таблица 5.1'!M16</f>
        <v>0</v>
      </c>
      <c r="P17" s="24">
        <v>19.57</v>
      </c>
      <c r="Q17" s="25">
        <f t="shared" si="3"/>
        <v>104.04040404040404</v>
      </c>
      <c r="R17" s="24">
        <f>'[1]Таблица 5.1'!O16</f>
        <v>0</v>
      </c>
      <c r="S17" s="24">
        <v>20.57</v>
      </c>
      <c r="T17" s="25">
        <f t="shared" si="4"/>
        <v>105.10986203372509</v>
      </c>
      <c r="U17" s="24">
        <f>'[1]Таблица 5.1'!T16</f>
        <v>0</v>
      </c>
      <c r="V17" s="24">
        <f>'[1]Таблица 5.1'!R16+'[1]Смета комбин'!U17*0.91698-0.22</f>
        <v>13.965066582122578</v>
      </c>
      <c r="W17" s="20">
        <f t="shared" si="5"/>
        <v>127.68276281011673</v>
      </c>
      <c r="X17" s="23">
        <f>'[1]Таблица 5.1'!V16</f>
        <v>0</v>
      </c>
      <c r="Y17" s="24">
        <f t="shared" si="7"/>
        <v>14.775040443885688</v>
      </c>
      <c r="Z17" s="20">
        <f t="shared" si="8"/>
        <v>105.80000000000001</v>
      </c>
      <c r="AA17" s="23">
        <f>'[1]Таблица 5.1'!X16</f>
        <v>0</v>
      </c>
      <c r="AB17" s="24">
        <f t="shared" si="9"/>
        <v>14.802970577049933</v>
      </c>
      <c r="AC17" s="20">
        <f t="shared" si="6"/>
        <v>106</v>
      </c>
      <c r="AD17" s="21"/>
      <c r="AE17" s="21"/>
    </row>
    <row r="18" spans="4:31" ht="14.25" customHeight="1">
      <c r="E18" s="17" t="s">
        <v>38</v>
      </c>
      <c r="F18" s="27" t="s">
        <v>39</v>
      </c>
      <c r="G18" s="23">
        <v>243.97</v>
      </c>
      <c r="H18" s="23">
        <v>303.60000000000002</v>
      </c>
      <c r="I18" s="24">
        <v>174.2286</v>
      </c>
      <c r="J18" s="24">
        <f>'[1]Таблица 5.1'!J17</f>
        <v>0</v>
      </c>
      <c r="K18" s="24">
        <f>'[1]Таблица 5.1'!K17</f>
        <v>0</v>
      </c>
      <c r="L18" s="24">
        <v>28.19</v>
      </c>
      <c r="M18" s="24">
        <v>401.11</v>
      </c>
      <c r="N18" s="25">
        <f t="shared" si="2"/>
        <v>230.22052636593534</v>
      </c>
      <c r="O18" s="24">
        <f>'[1]Таблица 5.1'!M17</f>
        <v>0</v>
      </c>
      <c r="P18" s="24">
        <v>417.16</v>
      </c>
      <c r="Q18" s="25">
        <f t="shared" si="3"/>
        <v>104.00139612575103</v>
      </c>
      <c r="R18" s="24">
        <f>'[1]Таблица 5.1'!O17</f>
        <v>0</v>
      </c>
      <c r="S18" s="24">
        <v>438.43</v>
      </c>
      <c r="T18" s="25">
        <f t="shared" si="4"/>
        <v>105.09876306453158</v>
      </c>
      <c r="U18" s="24">
        <f>'[1]Таблица 5.1'!T17</f>
        <v>0</v>
      </c>
      <c r="V18" s="24">
        <f>'[1]Таблица 5.1'!R17+'[1]Смета комбин'!U18*0.91698-4.94</f>
        <v>268.45844700839939</v>
      </c>
      <c r="W18" s="20">
        <f t="shared" si="5"/>
        <v>154.08402926293351</v>
      </c>
      <c r="X18" s="23">
        <f>'[1]Таблица 5.1'!V17</f>
        <v>0</v>
      </c>
      <c r="Y18" s="24">
        <f t="shared" si="7"/>
        <v>284.02903693488656</v>
      </c>
      <c r="Z18" s="20">
        <f t="shared" si="8"/>
        <v>105.80000000000001</v>
      </c>
      <c r="AA18" s="23">
        <f>'[1]Таблица 5.1'!X17</f>
        <v>0</v>
      </c>
      <c r="AB18" s="24">
        <f t="shared" si="9"/>
        <v>284.56595382890339</v>
      </c>
      <c r="AC18" s="20">
        <f t="shared" si="6"/>
        <v>106</v>
      </c>
      <c r="AD18" s="21"/>
      <c r="AE18" s="21"/>
    </row>
    <row r="19" spans="4:31" ht="14.25" customHeight="1">
      <c r="E19" s="17" t="s">
        <v>40</v>
      </c>
      <c r="F19" s="27" t="s">
        <v>41</v>
      </c>
      <c r="G19" s="23">
        <v>27.46</v>
      </c>
      <c r="H19" s="23">
        <v>205.2</v>
      </c>
      <c r="I19" s="24">
        <v>131.95000000000002</v>
      </c>
      <c r="J19" s="24">
        <f>'[1]Таблица 5.1'!J18</f>
        <v>0</v>
      </c>
      <c r="K19" s="24">
        <f>'[1]Таблица 5.1'!K18</f>
        <v>0</v>
      </c>
      <c r="L19" s="24">
        <v>226.47499999999999</v>
      </c>
      <c r="M19" s="24">
        <v>266.33</v>
      </c>
      <c r="N19" s="25">
        <f t="shared" si="2"/>
        <v>201.84160666919283</v>
      </c>
      <c r="O19" s="24">
        <f>'[1]Таблица 5.1'!M18</f>
        <v>0</v>
      </c>
      <c r="P19" s="24">
        <v>276.98</v>
      </c>
      <c r="Q19" s="25">
        <f t="shared" si="3"/>
        <v>103.99879848308491</v>
      </c>
      <c r="R19" s="24">
        <f>'[1]Таблица 5.1'!O18</f>
        <v>0</v>
      </c>
      <c r="S19" s="24">
        <v>291.11</v>
      </c>
      <c r="T19" s="25">
        <f t="shared" si="4"/>
        <v>105.10145136832985</v>
      </c>
      <c r="U19" s="24">
        <f>'[1]Таблица 5.1'!T18</f>
        <v>0</v>
      </c>
      <c r="V19" s="24">
        <f>'[1]Таблица 5.1'!R18+'[1]Смета комбин'!U19*0.91698-3.9</f>
        <v>213.06948409399928</v>
      </c>
      <c r="W19" s="20">
        <f t="shared" si="5"/>
        <v>161.47744152633516</v>
      </c>
      <c r="X19" s="23">
        <f>'[1]Таблица 5.1'!V18</f>
        <v>0</v>
      </c>
      <c r="Y19" s="24">
        <f t="shared" si="7"/>
        <v>225.42751417145124</v>
      </c>
      <c r="Z19" s="20">
        <f t="shared" si="8"/>
        <v>105.80000000000001</v>
      </c>
      <c r="AA19" s="23">
        <f>'[1]Таблица 5.1'!X18</f>
        <v>0</v>
      </c>
      <c r="AB19" s="24">
        <f t="shared" si="9"/>
        <v>225.85365313963925</v>
      </c>
      <c r="AC19" s="20">
        <f t="shared" si="6"/>
        <v>106</v>
      </c>
      <c r="AD19" s="21"/>
      <c r="AE19" s="21"/>
    </row>
    <row r="20" spans="4:31" ht="27" customHeight="1">
      <c r="E20" s="17" t="s">
        <v>42</v>
      </c>
      <c r="F20" s="27" t="s">
        <v>43</v>
      </c>
      <c r="G20" s="23">
        <v>119.48</v>
      </c>
      <c r="H20" s="23">
        <v>149.6</v>
      </c>
      <c r="I20" s="24">
        <v>27.931376200000003</v>
      </c>
      <c r="J20" s="24">
        <f>'[1]Таблица 5.1'!J19</f>
        <v>0</v>
      </c>
      <c r="K20" s="24">
        <f>'[1]Таблица 5.1'!K19</f>
        <v>0</v>
      </c>
      <c r="L20" s="24">
        <v>131.88900000000001</v>
      </c>
      <c r="M20" s="24">
        <v>35.51</v>
      </c>
      <c r="N20" s="25">
        <f t="shared" si="2"/>
        <v>127.13301251515132</v>
      </c>
      <c r="O20" s="24">
        <f>'[1]Таблица 5.1'!M19</f>
        <v>0</v>
      </c>
      <c r="P20" s="24">
        <v>36.93</v>
      </c>
      <c r="Q20" s="25">
        <f t="shared" si="3"/>
        <v>103.99887355674457</v>
      </c>
      <c r="R20" s="24">
        <f>'[1]Таблица 5.1'!O19</f>
        <v>0</v>
      </c>
      <c r="S20" s="24">
        <v>38.81</v>
      </c>
      <c r="T20" s="25">
        <f t="shared" si="4"/>
        <v>105.09071215813704</v>
      </c>
      <c r="U20" s="24">
        <f>'[1]Таблица 5.1'!T19</f>
        <v>0</v>
      </c>
      <c r="V20" s="24">
        <f>'[1]Таблица 5.1'!R19+'[1]Смета комбин'!U20*0.91698-0.34</f>
        <v>23.2868700008</v>
      </c>
      <c r="W20" s="20">
        <f t="shared" si="5"/>
        <v>83.371724450870417</v>
      </c>
      <c r="X20" s="23">
        <f>'[1]Таблица 5.1'!V19</f>
        <v>0</v>
      </c>
      <c r="Y20" s="24">
        <f t="shared" si="7"/>
        <v>24.637508460846401</v>
      </c>
      <c r="Z20" s="20">
        <f t="shared" si="8"/>
        <v>105.80000000000001</v>
      </c>
      <c r="AA20" s="23">
        <f>'[1]Таблица 5.1'!X19</f>
        <v>0</v>
      </c>
      <c r="AB20" s="24">
        <f t="shared" si="9"/>
        <v>24.684082200848003</v>
      </c>
      <c r="AC20" s="20">
        <f t="shared" si="6"/>
        <v>106</v>
      </c>
      <c r="AD20" s="21"/>
      <c r="AE20" s="21"/>
    </row>
    <row r="21" spans="4:31" ht="15" customHeight="1">
      <c r="E21" s="17" t="s">
        <v>44</v>
      </c>
      <c r="F21" s="27" t="s">
        <v>45</v>
      </c>
      <c r="G21" s="23">
        <v>0</v>
      </c>
      <c r="H21" s="23">
        <v>0</v>
      </c>
      <c r="I21" s="24">
        <v>0</v>
      </c>
      <c r="J21" s="24">
        <f>'[1]Таблица 5.1'!J20</f>
        <v>0</v>
      </c>
      <c r="K21" s="24">
        <f>'[1]Таблица 5.1'!K20</f>
        <v>0</v>
      </c>
      <c r="L21" s="24">
        <v>0</v>
      </c>
      <c r="M21" s="24">
        <v>1408.16</v>
      </c>
      <c r="N21" s="25">
        <f t="shared" si="2"/>
        <v>0</v>
      </c>
      <c r="O21" s="24">
        <f>'[1]Таблица 5.1'!M20</f>
        <v>0</v>
      </c>
      <c r="P21" s="24">
        <v>1464.48</v>
      </c>
      <c r="Q21" s="25">
        <f t="shared" si="3"/>
        <v>103.99954550619248</v>
      </c>
      <c r="R21" s="24">
        <f>'[1]Таблица 5.1'!O20</f>
        <v>0</v>
      </c>
      <c r="S21" s="24">
        <v>1539.17</v>
      </c>
      <c r="T21" s="25">
        <f t="shared" si="4"/>
        <v>105.10010379110675</v>
      </c>
      <c r="U21" s="24">
        <f>'[1]Таблица 5.1'!T20</f>
        <v>0</v>
      </c>
      <c r="V21" s="24">
        <f>'[1]Таблица 5.1'!R20+'[1]Смета комбин'!U21*0.91698</f>
        <v>0</v>
      </c>
      <c r="W21" s="20">
        <f t="shared" si="5"/>
        <v>0</v>
      </c>
      <c r="X21" s="23">
        <f>'[1]Таблица 5.1'!V20</f>
        <v>0</v>
      </c>
      <c r="Y21" s="24">
        <f t="shared" si="7"/>
        <v>0</v>
      </c>
      <c r="Z21" s="20">
        <f t="shared" si="8"/>
        <v>0</v>
      </c>
      <c r="AA21" s="23">
        <f>'[1]Таблица 5.1'!X20</f>
        <v>0</v>
      </c>
      <c r="AB21" s="24">
        <f t="shared" si="9"/>
        <v>0</v>
      </c>
      <c r="AC21" s="20"/>
      <c r="AD21" s="21"/>
      <c r="AE21" s="21"/>
    </row>
    <row r="22" spans="4:31" ht="18" customHeight="1">
      <c r="E22" s="17" t="s">
        <v>46</v>
      </c>
      <c r="F22" s="27" t="s">
        <v>47</v>
      </c>
      <c r="G22" s="23">
        <v>22.48</v>
      </c>
      <c r="H22" s="23">
        <v>126.70000000000002</v>
      </c>
      <c r="I22" s="24">
        <v>1557.27</v>
      </c>
      <c r="J22" s="24">
        <f>'[1]Таблица 5.1'!J21</f>
        <v>1041.1999999999998</v>
      </c>
      <c r="K22" s="24">
        <f>'[1]Таблица 5.1'!K21</f>
        <v>0</v>
      </c>
      <c r="L22" s="24">
        <v>342.48500000000001</v>
      </c>
      <c r="M22" s="24">
        <v>1270.6400000000001</v>
      </c>
      <c r="N22" s="25">
        <f t="shared" si="2"/>
        <v>81.594071676716311</v>
      </c>
      <c r="O22" s="24">
        <f>'[1]Таблица 5.1'!M21</f>
        <v>0</v>
      </c>
      <c r="P22" s="24">
        <v>1321.47</v>
      </c>
      <c r="Q22" s="25">
        <f t="shared" si="3"/>
        <v>104.0003462821885</v>
      </c>
      <c r="R22" s="24">
        <f>'[1]Таблица 5.1'!O21</f>
        <v>0</v>
      </c>
      <c r="S22" s="24">
        <v>1388.86</v>
      </c>
      <c r="T22" s="25">
        <f t="shared" si="4"/>
        <v>105.09962390368301</v>
      </c>
      <c r="U22" s="24">
        <f>'[1]Таблица 5.1'!T21</f>
        <v>1158.7838999999999</v>
      </c>
      <c r="V22" s="24">
        <f>'[1]Таблица 5.1'!R21+'[1]Смета комбин'!U22*0.91698-1088.17</f>
        <v>130.78963917511896</v>
      </c>
      <c r="W22" s="20">
        <f t="shared" si="5"/>
        <v>8.3986488646874946</v>
      </c>
      <c r="X22" s="23">
        <f>'[1]Таблица 5.1'!V21</f>
        <v>1221.8446301420249</v>
      </c>
      <c r="Y22" s="24">
        <f t="shared" si="7"/>
        <v>138.37543824727587</v>
      </c>
      <c r="Z22" s="20">
        <f t="shared" si="8"/>
        <v>105.80000000000001</v>
      </c>
      <c r="AA22" s="23">
        <f>'[1]Таблица 5.1'!X21</f>
        <v>0</v>
      </c>
      <c r="AB22" s="24">
        <f t="shared" si="9"/>
        <v>138.63701752562611</v>
      </c>
      <c r="AC22" s="20">
        <f t="shared" si="6"/>
        <v>106</v>
      </c>
      <c r="AD22" s="21"/>
      <c r="AE22" s="21"/>
    </row>
    <row r="23" spans="4:31">
      <c r="E23" s="17" t="s">
        <v>48</v>
      </c>
      <c r="F23" s="22" t="s">
        <v>49</v>
      </c>
      <c r="G23" s="23">
        <v>23.59</v>
      </c>
      <c r="H23" s="23">
        <v>52.7</v>
      </c>
      <c r="I23" s="24">
        <v>15.23</v>
      </c>
      <c r="J23" s="24">
        <f>'[1]Таблица 5.1'!J22</f>
        <v>0</v>
      </c>
      <c r="K23" s="24">
        <f>'[1]Таблица 5.1'!K22</f>
        <v>0</v>
      </c>
      <c r="L23" s="24">
        <v>201.77500000000001</v>
      </c>
      <c r="M23" s="24">
        <v>78.86</v>
      </c>
      <c r="N23" s="25">
        <f t="shared" si="2"/>
        <v>517.79382797110964</v>
      </c>
      <c r="O23" s="24">
        <f>'[1]Таблица 5.1'!M22</f>
        <v>0</v>
      </c>
      <c r="P23" s="24">
        <f>'[1]Таблица 5.1'!N22+'[1]Смета комбин'!O23*0.916</f>
        <v>82.020834355200009</v>
      </c>
      <c r="Q23" s="25">
        <f t="shared" si="3"/>
        <v>104.00815921278215</v>
      </c>
      <c r="R23" s="24">
        <f>'[1]Таблица 5.1'!O22</f>
        <v>0</v>
      </c>
      <c r="S23" s="24">
        <v>86.19</v>
      </c>
      <c r="T23" s="25">
        <f t="shared" si="4"/>
        <v>105.08305685692609</v>
      </c>
      <c r="U23" s="24">
        <f>'[1]Таблица 5.1'!T22</f>
        <v>61.769999999999996</v>
      </c>
      <c r="V23" s="24">
        <f>'[1]Таблица 5.1'!R22+'[1]Смета комбин'!U23*0.91698-0.28</f>
        <v>74.756974891200002</v>
      </c>
      <c r="W23" s="20">
        <f t="shared" si="5"/>
        <v>490.85341359947472</v>
      </c>
      <c r="X23" s="23">
        <f>'[1]Таблица 5.1'!V22</f>
        <v>65.131507957499991</v>
      </c>
      <c r="Y23" s="24">
        <f t="shared" si="7"/>
        <v>79.09287943488961</v>
      </c>
      <c r="Z23" s="20">
        <f t="shared" si="8"/>
        <v>105.80000000000001</v>
      </c>
      <c r="AA23" s="23">
        <f>'[1]Таблица 5.1'!X22</f>
        <v>0</v>
      </c>
      <c r="AB23" s="24">
        <f t="shared" si="9"/>
        <v>79.242393384672013</v>
      </c>
      <c r="AC23" s="20">
        <f t="shared" si="6"/>
        <v>106</v>
      </c>
      <c r="AD23" s="21"/>
      <c r="AE23" s="21"/>
    </row>
    <row r="24" spans="4:31">
      <c r="E24" s="17" t="s">
        <v>50</v>
      </c>
      <c r="F24" s="22" t="s">
        <v>51</v>
      </c>
      <c r="G24" s="23">
        <v>15.38</v>
      </c>
      <c r="H24" s="23">
        <v>24.3</v>
      </c>
      <c r="I24" s="24">
        <v>11.73</v>
      </c>
      <c r="J24" s="24">
        <f>'[1]Таблица 5.1'!J23</f>
        <v>0</v>
      </c>
      <c r="K24" s="24">
        <f>'[1]Таблица 5.1'!K23</f>
        <v>0</v>
      </c>
      <c r="L24" s="24">
        <f>59.842+109.388</f>
        <v>169.23000000000002</v>
      </c>
      <c r="M24" s="24">
        <v>41.51</v>
      </c>
      <c r="N24" s="25">
        <f t="shared" si="2"/>
        <v>353.87894288150039</v>
      </c>
      <c r="O24" s="24">
        <f>'[1]Таблица 5.1'!M23</f>
        <v>0</v>
      </c>
      <c r="P24" s="24">
        <v>43.17</v>
      </c>
      <c r="Q24" s="25">
        <f t="shared" si="3"/>
        <v>103.9990363767767</v>
      </c>
      <c r="R24" s="24">
        <f>'[1]Таблица 5.1'!O23</f>
        <v>0</v>
      </c>
      <c r="S24" s="24">
        <v>45.38</v>
      </c>
      <c r="T24" s="25">
        <f t="shared" si="4"/>
        <v>105.11929580727357</v>
      </c>
      <c r="U24" s="24">
        <f>'[1]Таблица 5.1'!T23</f>
        <v>16.13475</v>
      </c>
      <c r="V24" s="24">
        <f>'[1]Таблица 5.1'!R23+'[1]Смета комбин'!U24*0.91698-0.21</f>
        <v>27.001448747040001</v>
      </c>
      <c r="W24" s="20">
        <f t="shared" si="5"/>
        <v>230.19137891764706</v>
      </c>
      <c r="X24" s="23">
        <f>'[1]Таблица 5.1'!V23</f>
        <v>17.012799061312499</v>
      </c>
      <c r="Y24" s="24">
        <f t="shared" si="7"/>
        <v>28.567532774368324</v>
      </c>
      <c r="Z24" s="20">
        <f t="shared" si="8"/>
        <v>105.80000000000001</v>
      </c>
      <c r="AA24" s="23">
        <f>'[1]Таблица 5.1'!X23</f>
        <v>0</v>
      </c>
      <c r="AB24" s="24">
        <f t="shared" si="9"/>
        <v>28.621535671862404</v>
      </c>
      <c r="AC24" s="20">
        <f t="shared" si="6"/>
        <v>106</v>
      </c>
      <c r="AD24" s="21"/>
      <c r="AE24" s="21"/>
    </row>
    <row r="25" spans="4:31">
      <c r="E25" s="17" t="s">
        <v>52</v>
      </c>
      <c r="F25" s="22" t="s">
        <v>53</v>
      </c>
      <c r="G25" s="23">
        <v>0</v>
      </c>
      <c r="H25" s="23">
        <v>404.6</v>
      </c>
      <c r="I25" s="24">
        <v>0</v>
      </c>
      <c r="J25" s="24">
        <f>'[1]Таблица 5.1'!J24</f>
        <v>0</v>
      </c>
      <c r="K25" s="24">
        <f>'[1]Таблица 5.1'!K24</f>
        <v>0</v>
      </c>
      <c r="L25" s="24">
        <v>225.03299999999999</v>
      </c>
      <c r="M25" s="24">
        <f>'[1]Таблица 5.1'!L24+'[1]Смета комбин'!L25*0.91698</f>
        <v>0</v>
      </c>
      <c r="N25" s="25">
        <f t="shared" si="2"/>
        <v>0</v>
      </c>
      <c r="O25" s="24">
        <f>'[1]Таблица 5.1'!M24</f>
        <v>0</v>
      </c>
      <c r="P25" s="24">
        <f>'[1]Таблица 5.1'!N24+'[1]Смета комбин'!O25*0.916</f>
        <v>0</v>
      </c>
      <c r="Q25" s="25">
        <f t="shared" si="3"/>
        <v>0</v>
      </c>
      <c r="R25" s="24">
        <f>'[1]Таблица 5.1'!O24</f>
        <v>0</v>
      </c>
      <c r="S25" s="24">
        <f>'[1]Таблица 5.1'!P24+'[1]Смета комбин'!R25*0.91698</f>
        <v>0</v>
      </c>
      <c r="T25" s="25">
        <f t="shared" si="4"/>
        <v>0</v>
      </c>
      <c r="U25" s="24">
        <f>'[1]Таблица 5.1'!T24</f>
        <v>0</v>
      </c>
      <c r="V25" s="24">
        <f>'[1]Таблица 5.1'!R24+'[1]Смета комбин'!U25*0.91698</f>
        <v>0</v>
      </c>
      <c r="W25" s="20">
        <f t="shared" si="5"/>
        <v>0</v>
      </c>
      <c r="X25" s="23">
        <f>'[1]Таблица 5.1'!V24</f>
        <v>0</v>
      </c>
      <c r="Y25" s="24">
        <f t="shared" si="7"/>
        <v>0</v>
      </c>
      <c r="Z25" s="20">
        <f t="shared" si="8"/>
        <v>0</v>
      </c>
      <c r="AA25" s="23">
        <f>'[1]Таблица 5.1'!X24</f>
        <v>0</v>
      </c>
      <c r="AB25" s="24">
        <f t="shared" si="9"/>
        <v>0</v>
      </c>
      <c r="AC25" s="20"/>
      <c r="AD25" s="21"/>
      <c r="AE25" s="21"/>
    </row>
    <row r="26" spans="4:31">
      <c r="E26" s="17" t="s">
        <v>54</v>
      </c>
      <c r="F26" s="22" t="s">
        <v>55</v>
      </c>
      <c r="G26" s="23">
        <v>26.88</v>
      </c>
      <c r="H26" s="23">
        <v>33.06</v>
      </c>
      <c r="I26" s="24">
        <v>29.61</v>
      </c>
      <c r="J26" s="24">
        <f>'[1]Таблица 5.1'!J25</f>
        <v>0</v>
      </c>
      <c r="K26" s="24">
        <f>'[1]Таблица 5.1'!K25</f>
        <v>0</v>
      </c>
      <c r="L26" s="24">
        <v>26.975999999999999</v>
      </c>
      <c r="M26" s="24">
        <v>41.67</v>
      </c>
      <c r="N26" s="25">
        <f t="shared" si="2"/>
        <v>140.72948328267478</v>
      </c>
      <c r="O26" s="24">
        <f>'[1]Таблица 5.1'!M25</f>
        <v>0</v>
      </c>
      <c r="P26" s="24">
        <f>'[1]Таблица 5.1'!N25+'[1]Смета комбин'!O26*0.916</f>
        <v>43.354063365267201</v>
      </c>
      <c r="Q26" s="25">
        <f t="shared" si="3"/>
        <v>104.04142876234029</v>
      </c>
      <c r="R26" s="24">
        <f>'[1]Таблица 5.1'!O25</f>
        <v>0</v>
      </c>
      <c r="S26" s="24">
        <v>45.55</v>
      </c>
      <c r="T26" s="25">
        <f t="shared" si="4"/>
        <v>105.06512299950195</v>
      </c>
      <c r="U26" s="24">
        <f>'[1]Таблица 5.1'!T25</f>
        <v>0</v>
      </c>
      <c r="V26" s="24">
        <f>'[1]Таблица 5.1'!R25+'[1]Смета комбин'!U26*0.91698-0.62</f>
        <v>33.485896521978397</v>
      </c>
      <c r="W26" s="20">
        <f t="shared" si="5"/>
        <v>113.08982276926172</v>
      </c>
      <c r="X26" s="23">
        <f>'[1]Таблица 5.1'!V25</f>
        <v>0</v>
      </c>
      <c r="Y26" s="24">
        <f t="shared" si="7"/>
        <v>35.428078520253145</v>
      </c>
      <c r="Z26" s="20">
        <f t="shared" si="8"/>
        <v>105.80000000000001</v>
      </c>
      <c r="AA26" s="23">
        <f>'[1]Таблица 5.1'!X25</f>
        <v>0</v>
      </c>
      <c r="AB26" s="24">
        <f t="shared" si="9"/>
        <v>35.495050313297099</v>
      </c>
      <c r="AC26" s="20">
        <f t="shared" si="6"/>
        <v>106</v>
      </c>
      <c r="AD26" s="21"/>
      <c r="AE26" s="21"/>
    </row>
    <row r="27" spans="4:31">
      <c r="E27" s="17" t="s">
        <v>56</v>
      </c>
      <c r="F27" s="22" t="s">
        <v>57</v>
      </c>
      <c r="G27" s="23">
        <v>0</v>
      </c>
      <c r="H27" s="23">
        <v>1096.33</v>
      </c>
      <c r="I27" s="24">
        <v>0</v>
      </c>
      <c r="J27" s="24">
        <f>'[1]Таблица 5.1'!J26</f>
        <v>0</v>
      </c>
      <c r="K27" s="24">
        <f>'[1]Таблица 5.1'!K26</f>
        <v>0</v>
      </c>
      <c r="L27" s="24">
        <v>80.474999999999994</v>
      </c>
      <c r="M27" s="24">
        <v>40.880000000000003</v>
      </c>
      <c r="N27" s="25">
        <f t="shared" si="2"/>
        <v>0</v>
      </c>
      <c r="O27" s="24">
        <f>'[1]Таблица 5.1'!M26</f>
        <v>0</v>
      </c>
      <c r="P27" s="24">
        <f>'[1]Таблица 5.1'!N26+'[1]Смета комбин'!O27*0.916</f>
        <v>42.537334342048013</v>
      </c>
      <c r="Q27" s="25">
        <f t="shared" si="3"/>
        <v>104.05414467232879</v>
      </c>
      <c r="R27" s="24">
        <f>'[1]Таблица 5.1'!O26</f>
        <v>0</v>
      </c>
      <c r="S27" s="24">
        <f>'[1]Таблица 5.1'!P26+'[1]Смета комбин'!R27*0.91698</f>
        <v>44.754568746795528</v>
      </c>
      <c r="T27" s="25">
        <f t="shared" si="4"/>
        <v>105.21244323144101</v>
      </c>
      <c r="U27" s="24">
        <f>'[1]Таблица 5.1'!T26</f>
        <v>0</v>
      </c>
      <c r="V27" s="24">
        <f>'[1]Таблица 5.1'!R26+'[1]Смета комбин'!U27*0.91698-0.55</f>
        <v>31.050799886996</v>
      </c>
      <c r="W27" s="20">
        <f t="shared" si="5"/>
        <v>0</v>
      </c>
      <c r="X27" s="23">
        <f>'[1]Таблица 5.1'!V26</f>
        <v>0</v>
      </c>
      <c r="Y27" s="24">
        <f t="shared" si="7"/>
        <v>32.851746280441766</v>
      </c>
      <c r="Z27" s="20">
        <f t="shared" si="8"/>
        <v>105.80000000000001</v>
      </c>
      <c r="AA27" s="23">
        <f>'[1]Таблица 5.1'!X26</f>
        <v>0</v>
      </c>
      <c r="AB27" s="24">
        <f t="shared" si="9"/>
        <v>32.913847880215762</v>
      </c>
      <c r="AC27" s="20">
        <f t="shared" si="6"/>
        <v>106</v>
      </c>
      <c r="AD27" s="21"/>
      <c r="AE27" s="21"/>
    </row>
    <row r="28" spans="4:31" hidden="1">
      <c r="E28" s="17" t="s">
        <v>58</v>
      </c>
      <c r="F28" s="18"/>
      <c r="G28" s="28"/>
      <c r="H28" s="28"/>
      <c r="I28" s="28"/>
      <c r="J28" s="28"/>
      <c r="K28" s="28"/>
      <c r="L28" s="28"/>
      <c r="M28" s="28"/>
      <c r="N28" s="20">
        <f t="shared" si="2"/>
        <v>0</v>
      </c>
      <c r="O28" s="28"/>
      <c r="P28" s="28"/>
      <c r="Q28" s="20">
        <f t="shared" si="3"/>
        <v>0</v>
      </c>
      <c r="R28" s="28"/>
      <c r="S28" s="28"/>
      <c r="T28" s="20">
        <f t="shared" si="4"/>
        <v>0</v>
      </c>
      <c r="U28" s="28"/>
      <c r="V28" s="28"/>
      <c r="W28" s="20">
        <f t="shared" si="5"/>
        <v>0</v>
      </c>
      <c r="X28" s="28"/>
      <c r="Y28" s="28"/>
      <c r="Z28" s="20">
        <f t="shared" si="8"/>
        <v>0</v>
      </c>
      <c r="AA28" s="28"/>
      <c r="AB28" s="28"/>
      <c r="AC28" s="20">
        <f t="shared" ref="AC28" si="10">IF(Y28=0,0,AB28/Y28*100)</f>
        <v>0</v>
      </c>
      <c r="AD28" s="28"/>
      <c r="AE28" s="28"/>
    </row>
    <row r="29" spans="4:31">
      <c r="E29" s="29"/>
      <c r="F29" s="30" t="s">
        <v>59</v>
      </c>
      <c r="G29" s="31"/>
      <c r="H29" s="32" t="s">
        <v>60</v>
      </c>
      <c r="I29" s="32" t="s">
        <v>60</v>
      </c>
      <c r="J29" s="19"/>
      <c r="K29" s="19"/>
      <c r="L29" s="31"/>
      <c r="M29" s="19">
        <f>M11</f>
        <v>28261.46</v>
      </c>
      <c r="N29" s="32" t="s">
        <v>60</v>
      </c>
      <c r="O29" s="19"/>
      <c r="P29" s="32" t="s">
        <v>60</v>
      </c>
      <c r="Q29" s="32" t="s">
        <v>60</v>
      </c>
      <c r="R29" s="19"/>
      <c r="S29" s="32" t="s">
        <v>60</v>
      </c>
      <c r="T29" s="32" t="s">
        <v>60</v>
      </c>
      <c r="U29" s="19"/>
      <c r="V29" s="19">
        <f>V11</f>
        <v>22375.243413502227</v>
      </c>
      <c r="W29" s="20"/>
      <c r="X29" s="19"/>
      <c r="Y29" s="32" t="s">
        <v>60</v>
      </c>
      <c r="Z29" s="32" t="s">
        <v>60</v>
      </c>
      <c r="AA29" s="19"/>
      <c r="AB29" s="32" t="s">
        <v>60</v>
      </c>
      <c r="AC29" s="32" t="s">
        <v>60</v>
      </c>
      <c r="AD29" s="31"/>
      <c r="AE29" s="31"/>
    </row>
    <row r="30" spans="4:31" ht="18.75" customHeight="1">
      <c r="D30" s="16" t="s">
        <v>23</v>
      </c>
      <c r="E30" s="17" t="s">
        <v>61</v>
      </c>
      <c r="F30" s="18" t="s">
        <v>62</v>
      </c>
      <c r="G30" s="19">
        <f>SUM(G31:G34)+SUM(G42:G45)+SUM(G47:G48)</f>
        <v>12708.1</v>
      </c>
      <c r="H30" s="19">
        <f t="shared" ref="H30:S30" si="11">SUM(H31:H34)+SUM(H42:H45)+SUM(H47:H48)</f>
        <v>12779.484</v>
      </c>
      <c r="I30" s="19">
        <f t="shared" si="11"/>
        <v>12631.96</v>
      </c>
      <c r="J30" s="19">
        <f>SUM(J31:J34)+SUM(J42:J45)+SUM(J47:J48)</f>
        <v>8683.1283000000003</v>
      </c>
      <c r="K30" s="19">
        <f t="shared" si="11"/>
        <v>5848</v>
      </c>
      <c r="L30" s="19">
        <f>SUM(L31:L34)+SUM(L42:L45)+SUM(L47:L48)</f>
        <v>12404.002999999999</v>
      </c>
      <c r="M30" s="19">
        <f t="shared" si="11"/>
        <v>15340.768859801359</v>
      </c>
      <c r="N30" s="20">
        <f t="shared" si="2"/>
        <v>121.44408991004849</v>
      </c>
      <c r="O30" s="19">
        <f t="shared" si="11"/>
        <v>5848</v>
      </c>
      <c r="P30" s="19">
        <f t="shared" si="11"/>
        <v>15659.97603742848</v>
      </c>
      <c r="Q30" s="20">
        <f t="shared" si="3"/>
        <v>102.08077691896892</v>
      </c>
      <c r="R30" s="19">
        <f t="shared" si="11"/>
        <v>5848</v>
      </c>
      <c r="S30" s="19">
        <f t="shared" si="11"/>
        <v>16083.410000000002</v>
      </c>
      <c r="T30" s="20">
        <f t="shared" si="4"/>
        <v>102.70392471584557</v>
      </c>
      <c r="U30" s="19">
        <f>SUM(U31:U34)+SUM(U42:U45)+SUM(U47:U48)</f>
        <v>9502.3048446242537</v>
      </c>
      <c r="V30" s="19">
        <f>SUM(V31:V34)+SUM(V42:V45)+SUM(V47:V48)</f>
        <v>12942.041333267132</v>
      </c>
      <c r="W30" s="20">
        <f t="shared" si="5"/>
        <v>102.45473650381361</v>
      </c>
      <c r="X30" s="19">
        <f>SUM(X31:X34)+SUM(X42:X45)+SUM(X47:X48)</f>
        <v>9695.6361763675122</v>
      </c>
      <c r="Y30" s="19">
        <f>SUM(Y31:Y34)+SUM(Y42:Y45)+SUM(Y47:Y48)</f>
        <v>13238.203946372169</v>
      </c>
      <c r="Z30" s="20">
        <f t="shared" si="8"/>
        <v>102.28837635021115</v>
      </c>
      <c r="AA30" s="19">
        <f>SUM(AA31:AA34)+SUM(AA42:AA45)+SUM(AA47:AA48)</f>
        <v>0</v>
      </c>
      <c r="AB30" s="19">
        <f>SUM(AB31:AB34)+SUM(AB42:AB45)+SUM(AB47:AB48)</f>
        <v>14367.807164907128</v>
      </c>
      <c r="AC30" s="20">
        <f t="shared" ref="AC30:AC71" si="12">AB30/Y30*100</f>
        <v>108.53290388266392</v>
      </c>
      <c r="AD30" s="21"/>
      <c r="AE30" s="21"/>
    </row>
    <row r="31" spans="4:31" ht="29.25" customHeight="1">
      <c r="D31" s="39"/>
      <c r="E31" s="17" t="s">
        <v>63</v>
      </c>
      <c r="F31" s="22" t="s">
        <v>64</v>
      </c>
      <c r="G31" s="23">
        <v>0</v>
      </c>
      <c r="H31" s="23">
        <v>0</v>
      </c>
      <c r="I31" s="24">
        <v>0</v>
      </c>
      <c r="J31" s="24">
        <f>'[1]Таблица 5.3'!J11</f>
        <v>0</v>
      </c>
      <c r="K31" s="24">
        <f>'[1]Таблица 5.3'!K11</f>
        <v>0</v>
      </c>
      <c r="L31" s="24">
        <v>0</v>
      </c>
      <c r="M31" s="24">
        <f>'[1]Таблица 5.3'!L11</f>
        <v>0</v>
      </c>
      <c r="N31" s="25">
        <f t="shared" si="2"/>
        <v>0</v>
      </c>
      <c r="O31" s="24">
        <f>'[1]Таблица 5.3'!M11</f>
        <v>0</v>
      </c>
      <c r="P31" s="24">
        <f>'[1]Таблица 5.3'!N11</f>
        <v>0</v>
      </c>
      <c r="Q31" s="25">
        <f t="shared" si="3"/>
        <v>0</v>
      </c>
      <c r="R31" s="24">
        <f>'[1]Таблица 5.3'!O11</f>
        <v>0</v>
      </c>
      <c r="S31" s="24">
        <f>'[1]Таблица 5.3'!P11</f>
        <v>0</v>
      </c>
      <c r="T31" s="25">
        <f t="shared" si="4"/>
        <v>0</v>
      </c>
      <c r="U31" s="24">
        <f>'[1]Таблица 5.3'!T11</f>
        <v>0</v>
      </c>
      <c r="V31" s="24">
        <f>'[1]Таблица 5.3'!R11</f>
        <v>0</v>
      </c>
      <c r="W31" s="20">
        <f t="shared" si="5"/>
        <v>0</v>
      </c>
      <c r="X31" s="23">
        <f>'[1]Таблица 5.3'!V11</f>
        <v>0</v>
      </c>
      <c r="Y31" s="24">
        <f>'[1]Таблица 5.3'!T11</f>
        <v>0</v>
      </c>
      <c r="Z31" s="20">
        <f t="shared" si="8"/>
        <v>0</v>
      </c>
      <c r="AA31" s="23">
        <f>'[1]Таблица 5.3'!X11</f>
        <v>0</v>
      </c>
      <c r="AB31" s="60">
        <f>'[1]Таблица 5.3'!V11</f>
        <v>0</v>
      </c>
      <c r="AC31" s="20"/>
      <c r="AD31" s="21"/>
      <c r="AE31" s="21"/>
    </row>
    <row r="32" spans="4:31">
      <c r="E32" s="17" t="s">
        <v>65</v>
      </c>
      <c r="F32" s="22" t="s">
        <v>55</v>
      </c>
      <c r="G32" s="23">
        <v>0</v>
      </c>
      <c r="H32" s="23">
        <v>0</v>
      </c>
      <c r="I32" s="24">
        <v>0</v>
      </c>
      <c r="J32" s="24">
        <f>'[1]Таблица 5.3'!J12</f>
        <v>0</v>
      </c>
      <c r="K32" s="24">
        <f>'[1]Таблица 5.3'!K12</f>
        <v>0</v>
      </c>
      <c r="L32" s="24">
        <v>0</v>
      </c>
      <c r="M32" s="24">
        <f>'[1]Таблица 5.3'!L12</f>
        <v>0</v>
      </c>
      <c r="N32" s="25">
        <f t="shared" si="2"/>
        <v>0</v>
      </c>
      <c r="O32" s="24">
        <f>'[1]Таблица 5.3'!M12</f>
        <v>0</v>
      </c>
      <c r="P32" s="24">
        <f>'[1]Таблица 5.3'!N12</f>
        <v>0</v>
      </c>
      <c r="Q32" s="25">
        <f t="shared" si="3"/>
        <v>0</v>
      </c>
      <c r="R32" s="24">
        <f>'[1]Таблица 5.3'!O12</f>
        <v>0</v>
      </c>
      <c r="S32" s="24">
        <f>'[1]Таблица 5.3'!P12</f>
        <v>0</v>
      </c>
      <c r="T32" s="25">
        <f t="shared" si="4"/>
        <v>0</v>
      </c>
      <c r="U32" s="24">
        <f>'[1]Таблица 5.3'!T12</f>
        <v>0</v>
      </c>
      <c r="V32" s="24">
        <f>'[1]Таблица 5.3'!R12</f>
        <v>0</v>
      </c>
      <c r="W32" s="20">
        <f t="shared" si="5"/>
        <v>0</v>
      </c>
      <c r="X32" s="23">
        <f>'[1]Таблица 5.3'!V12</f>
        <v>0</v>
      </c>
      <c r="Y32" s="24">
        <f>'[1]Таблица 5.3'!T12</f>
        <v>0</v>
      </c>
      <c r="Z32" s="20">
        <f t="shared" si="8"/>
        <v>0</v>
      </c>
      <c r="AA32" s="23">
        <f>'[1]Таблица 5.3'!X12</f>
        <v>0</v>
      </c>
      <c r="AB32" s="60">
        <f>'[1]Таблица 5.3'!V12</f>
        <v>0</v>
      </c>
      <c r="AC32" s="20"/>
      <c r="AD32" s="21"/>
      <c r="AE32" s="21"/>
    </row>
    <row r="33" spans="5:31">
      <c r="E33" s="17" t="s">
        <v>66</v>
      </c>
      <c r="F33" s="22" t="s">
        <v>67</v>
      </c>
      <c r="G33" s="23">
        <v>0</v>
      </c>
      <c r="H33" s="23">
        <v>0</v>
      </c>
      <c r="I33" s="24">
        <v>0</v>
      </c>
      <c r="J33" s="24">
        <f>'[1]Таблица 5.3'!J13</f>
        <v>0</v>
      </c>
      <c r="K33" s="24">
        <f>'[1]Таблица 5.3'!K13</f>
        <v>0</v>
      </c>
      <c r="L33" s="24">
        <v>0</v>
      </c>
      <c r="M33" s="24">
        <f>'[1]Таблица 5.3'!L13</f>
        <v>0</v>
      </c>
      <c r="N33" s="25">
        <f t="shared" si="2"/>
        <v>0</v>
      </c>
      <c r="O33" s="24">
        <f>'[1]Таблица 5.3'!M13</f>
        <v>0</v>
      </c>
      <c r="P33" s="24">
        <f>'[1]Таблица 5.3'!N13</f>
        <v>0</v>
      </c>
      <c r="Q33" s="25">
        <f t="shared" si="3"/>
        <v>0</v>
      </c>
      <c r="R33" s="24">
        <f>'[1]Таблица 5.3'!O13</f>
        <v>0</v>
      </c>
      <c r="S33" s="24">
        <f>'[1]Таблица 5.3'!P13</f>
        <v>0</v>
      </c>
      <c r="T33" s="25">
        <f t="shared" si="4"/>
        <v>0</v>
      </c>
      <c r="U33" s="24">
        <f>'[1]Таблица 5.3'!T13</f>
        <v>0</v>
      </c>
      <c r="V33" s="24">
        <f>'[1]Таблица 5.3'!R13</f>
        <v>0</v>
      </c>
      <c r="W33" s="20">
        <f t="shared" si="5"/>
        <v>0</v>
      </c>
      <c r="X33" s="23">
        <f>'[1]Таблица 5.3'!V13</f>
        <v>0</v>
      </c>
      <c r="Y33" s="24">
        <f>'[1]Таблица 5.3'!T13</f>
        <v>0</v>
      </c>
      <c r="Z33" s="20">
        <f t="shared" si="8"/>
        <v>0</v>
      </c>
      <c r="AA33" s="23">
        <f>'[1]Таблица 5.3'!X13</f>
        <v>0</v>
      </c>
      <c r="AB33" s="60">
        <f>'[1]Таблица 5.3'!V13</f>
        <v>0</v>
      </c>
      <c r="AC33" s="20"/>
      <c r="AD33" s="21"/>
      <c r="AE33" s="21"/>
    </row>
    <row r="34" spans="5:31" ht="25.5">
      <c r="E34" s="17" t="s">
        <v>68</v>
      </c>
      <c r="F34" s="22" t="s">
        <v>69</v>
      </c>
      <c r="G34" s="23">
        <v>4354.0200000000004</v>
      </c>
      <c r="H34" s="23">
        <v>2399.5</v>
      </c>
      <c r="I34" s="24">
        <v>4156.72</v>
      </c>
      <c r="J34" s="24">
        <f>'[1]Таблица 5.3'!J14</f>
        <v>1278.845</v>
      </c>
      <c r="K34" s="24">
        <f>'[1]Таблица 5.3'!K14</f>
        <v>0</v>
      </c>
      <c r="L34" s="24">
        <f>L35+L36+L37</f>
        <v>3494.7759999999998</v>
      </c>
      <c r="M34" s="24">
        <v>4742.59</v>
      </c>
      <c r="N34" s="25">
        <f t="shared" si="2"/>
        <v>114.09452645354992</v>
      </c>
      <c r="O34" s="24">
        <f>'[1]Таблица 5.3'!M14</f>
        <v>0</v>
      </c>
      <c r="P34" s="24">
        <v>4931.34</v>
      </c>
      <c r="Q34" s="25">
        <f t="shared" si="3"/>
        <v>103.97989284336195</v>
      </c>
      <c r="R34" s="24">
        <f>'[1]Таблица 5.3'!O14</f>
        <v>0</v>
      </c>
      <c r="S34" s="24">
        <v>5182.5600000000004</v>
      </c>
      <c r="T34" s="25">
        <f t="shared" si="4"/>
        <v>105.0943556923676</v>
      </c>
      <c r="U34" s="24">
        <f>'[1]Таблица 5.3'!T14</f>
        <v>1506.03928</v>
      </c>
      <c r="V34" s="24">
        <f>V35+V36+V37</f>
        <v>3963.8128081112845</v>
      </c>
      <c r="W34" s="20">
        <f t="shared" si="5"/>
        <v>95.359148754577745</v>
      </c>
      <c r="X34" s="23">
        <f>'[1]Таблица 5.3'!V14</f>
        <v>1582.8472832799998</v>
      </c>
      <c r="Y34" s="24">
        <f>Y35+Y36+Y37</f>
        <v>4182.3633028252825</v>
      </c>
      <c r="Z34" s="20">
        <f t="shared" si="8"/>
        <v>105.5136431838247</v>
      </c>
      <c r="AA34" s="23">
        <f>'[1]Таблица 5.3'!X14</f>
        <v>0</v>
      </c>
      <c r="AB34" s="60">
        <f>AB35+AB36+AB37</f>
        <v>4742.5312045119999</v>
      </c>
      <c r="AC34" s="20">
        <f t="shared" si="12"/>
        <v>113.39357346857723</v>
      </c>
      <c r="AD34" s="21"/>
      <c r="AE34" s="21"/>
    </row>
    <row r="35" spans="5:31" ht="48.75" customHeight="1">
      <c r="E35" s="17" t="s">
        <v>70</v>
      </c>
      <c r="F35" s="27" t="s">
        <v>71</v>
      </c>
      <c r="G35" s="23">
        <v>207.95</v>
      </c>
      <c r="H35" s="23">
        <v>152.5</v>
      </c>
      <c r="I35" s="24">
        <v>195.2</v>
      </c>
      <c r="J35" s="24">
        <f>'[1]Таблица 5.3'!J15</f>
        <v>0</v>
      </c>
      <c r="K35" s="24">
        <f>'[1]Таблица 5.3'!K15</f>
        <v>0</v>
      </c>
      <c r="L35" s="24">
        <v>145.845</v>
      </c>
      <c r="M35" s="24">
        <v>408.77</v>
      </c>
      <c r="N35" s="25">
        <f t="shared" si="2"/>
        <v>209.41086065573771</v>
      </c>
      <c r="O35" s="24">
        <f>'[1]Таблица 5.3'!M15</f>
        <v>0</v>
      </c>
      <c r="P35" s="24">
        <v>425.12</v>
      </c>
      <c r="Q35" s="25">
        <f t="shared" si="3"/>
        <v>103.99980429092155</v>
      </c>
      <c r="R35" s="24">
        <f>'[1]Таблица 5.3'!O15</f>
        <v>0</v>
      </c>
      <c r="S35" s="24">
        <v>446.8</v>
      </c>
      <c r="T35" s="25">
        <f t="shared" si="4"/>
        <v>105.09973654497553</v>
      </c>
      <c r="U35" s="24">
        <f>'[1]Таблица 5.3'!T15</f>
        <v>0</v>
      </c>
      <c r="V35" s="24">
        <f>'[1]Таблица 5.3'!R15+'[1]Смета комбин'!U35*0.91698-3.53-0.01</f>
        <v>195.70083028374003</v>
      </c>
      <c r="W35" s="20">
        <f t="shared" si="5"/>
        <v>100.25657289126026</v>
      </c>
      <c r="X35" s="23">
        <f>'[1]Таблица 5.3'!V15</f>
        <v>0</v>
      </c>
      <c r="Y35" s="24">
        <f>V35</f>
        <v>195.70083028374003</v>
      </c>
      <c r="Z35" s="20">
        <f t="shared" si="8"/>
        <v>100</v>
      </c>
      <c r="AA35" s="23">
        <f>'[1]Таблица 5.3'!X15</f>
        <v>0</v>
      </c>
      <c r="AB35" s="64">
        <f>34153.01*0.0055*0.9</f>
        <v>169.0573995</v>
      </c>
      <c r="AC35" s="20">
        <f t="shared" si="12"/>
        <v>86.385632219796605</v>
      </c>
      <c r="AD35" s="21"/>
      <c r="AE35" s="21"/>
    </row>
    <row r="36" spans="5:31">
      <c r="E36" s="17" t="s">
        <v>72</v>
      </c>
      <c r="F36" s="27" t="s">
        <v>73</v>
      </c>
      <c r="G36" s="23">
        <v>158.36000000000001</v>
      </c>
      <c r="H36" s="23">
        <v>573.70000000000005</v>
      </c>
      <c r="I36" s="24">
        <v>296.85000000000002</v>
      </c>
      <c r="J36" s="24">
        <f>'[1]Таблица 5.3'!J16</f>
        <v>218.69</v>
      </c>
      <c r="K36" s="24">
        <f>'[1]Таблица 5.3'!K16</f>
        <v>0</v>
      </c>
      <c r="L36" s="24">
        <v>431.85300000000001</v>
      </c>
      <c r="M36" s="24">
        <v>433.53</v>
      </c>
      <c r="N36" s="25">
        <f t="shared" si="2"/>
        <v>146.04345629105606</v>
      </c>
      <c r="O36" s="24">
        <f>'[1]Таблица 5.3'!M16</f>
        <v>0</v>
      </c>
      <c r="P36" s="24">
        <v>450.87</v>
      </c>
      <c r="Q36" s="25">
        <f t="shared" si="3"/>
        <v>103.99972320254653</v>
      </c>
      <c r="R36" s="24">
        <f>'[1]Таблица 5.3'!O16</f>
        <v>0</v>
      </c>
      <c r="S36" s="24">
        <v>473.87</v>
      </c>
      <c r="T36" s="25">
        <f t="shared" si="4"/>
        <v>105.10124869696365</v>
      </c>
      <c r="U36" s="24">
        <f>'[1]Таблица 5.3'!T16</f>
        <v>230.16240000000002</v>
      </c>
      <c r="V36" s="24">
        <f>'[1]Таблица 5.3'!R16+'[1]Смета комбин'!U36*0.91698-3.01</f>
        <v>391.88431400000002</v>
      </c>
      <c r="W36" s="20">
        <f t="shared" si="5"/>
        <v>132.01425433720735</v>
      </c>
      <c r="X36" s="23">
        <f>'[1]Таблица 5.3'!V16</f>
        <v>241.90068239999999</v>
      </c>
      <c r="Y36" s="24">
        <f t="shared" ref="Y36:Y43" si="13">V36*1.058</f>
        <v>414.61360421200004</v>
      </c>
      <c r="Z36" s="20">
        <f t="shared" si="8"/>
        <v>105.80000000000001</v>
      </c>
      <c r="AA36" s="23">
        <f>'[1]Таблица 5.3'!X16</f>
        <v>0</v>
      </c>
      <c r="AB36" s="24">
        <f t="shared" ref="AB36:AB46" si="14">Y36</f>
        <v>414.61360421200004</v>
      </c>
      <c r="AC36" s="20">
        <f t="shared" si="12"/>
        <v>100</v>
      </c>
      <c r="AD36" s="21"/>
      <c r="AE36" s="21"/>
    </row>
    <row r="37" spans="5:31">
      <c r="E37" s="17" t="s">
        <v>74</v>
      </c>
      <c r="F37" s="27" t="s">
        <v>139</v>
      </c>
      <c r="G37" s="23">
        <v>3987.41</v>
      </c>
      <c r="H37" s="23">
        <v>1673.3</v>
      </c>
      <c r="I37" s="24">
        <v>3664.67</v>
      </c>
      <c r="J37" s="24">
        <f>'[1]Таблица 5.3'!J17</f>
        <v>1060.155</v>
      </c>
      <c r="K37" s="24">
        <f>'[1]Таблица 5.3'!K17</f>
        <v>0</v>
      </c>
      <c r="L37" s="24">
        <v>2917.078</v>
      </c>
      <c r="M37" s="24">
        <v>3900.29</v>
      </c>
      <c r="N37" s="25">
        <f t="shared" si="2"/>
        <v>106.42950115562928</v>
      </c>
      <c r="O37" s="24">
        <f>'[1]Таблица 5.3'!M17</f>
        <v>0</v>
      </c>
      <c r="P37" s="24">
        <v>4055.35</v>
      </c>
      <c r="Q37" s="25">
        <f t="shared" si="3"/>
        <v>103.97560181422408</v>
      </c>
      <c r="R37" s="24">
        <f>'[1]Таблица 5.3'!O17</f>
        <v>0</v>
      </c>
      <c r="S37" s="24">
        <v>4261.8900000000003</v>
      </c>
      <c r="T37" s="25">
        <f t="shared" si="4"/>
        <v>105.0930252629243</v>
      </c>
      <c r="U37" s="24">
        <f>'[1]Таблица 5.3'!T17</f>
        <v>1275.87688</v>
      </c>
      <c r="V37" s="24">
        <f>'[1]Таблица 5.3'!R17+'[1]Смета комбин'!U37*0.91698-39.08</f>
        <v>3376.2276638275443</v>
      </c>
      <c r="W37" s="20">
        <f t="shared" si="5"/>
        <v>92.129104771440382</v>
      </c>
      <c r="X37" s="23">
        <f>'[1]Таблица 5.3'!V17</f>
        <v>1340.9466008799998</v>
      </c>
      <c r="Y37" s="24">
        <f t="shared" si="13"/>
        <v>3572.0488683295421</v>
      </c>
      <c r="Z37" s="20">
        <f t="shared" si="8"/>
        <v>105.80000000000001</v>
      </c>
      <c r="AA37" s="23">
        <f>'[1]Таблица 5.3'!X17</f>
        <v>0</v>
      </c>
      <c r="AB37" s="24">
        <f>AB38+AB39+AB40+AB41</f>
        <v>4158.8602007999998</v>
      </c>
      <c r="AC37" s="20">
        <f t="shared" si="12"/>
        <v>116.42786406628525</v>
      </c>
      <c r="AD37" s="21"/>
      <c r="AE37" s="21"/>
    </row>
    <row r="38" spans="5:31">
      <c r="E38" s="17"/>
      <c r="F38" s="27" t="s">
        <v>140</v>
      </c>
      <c r="G38" s="23"/>
      <c r="H38" s="23"/>
      <c r="I38" s="24">
        <v>1637.03</v>
      </c>
      <c r="J38" s="24"/>
      <c r="K38" s="24"/>
      <c r="L38" s="24">
        <v>1768.92</v>
      </c>
      <c r="M38" s="24"/>
      <c r="N38" s="25"/>
      <c r="O38" s="24"/>
      <c r="P38" s="24"/>
      <c r="Q38" s="25"/>
      <c r="R38" s="24"/>
      <c r="S38" s="24"/>
      <c r="T38" s="25"/>
      <c r="U38" s="24"/>
      <c r="V38" s="24">
        <f>1962.6*0.917</f>
        <v>1799.7041999999999</v>
      </c>
      <c r="W38" s="20">
        <f t="shared" si="5"/>
        <v>109.93715448098081</v>
      </c>
      <c r="X38" s="23"/>
      <c r="Y38" s="24">
        <f>V38*1.058</f>
        <v>1904.0870436</v>
      </c>
      <c r="Z38" s="20"/>
      <c r="AA38" s="23"/>
      <c r="AB38" s="64">
        <f>2767.66*0.9</f>
        <v>2490.8939999999998</v>
      </c>
      <c r="AC38" s="20">
        <f t="shared" si="12"/>
        <v>130.81828419411653</v>
      </c>
      <c r="AD38" s="21"/>
      <c r="AE38" s="21"/>
    </row>
    <row r="39" spans="5:31">
      <c r="E39" s="17"/>
      <c r="F39" s="27" t="s">
        <v>141</v>
      </c>
      <c r="G39" s="23"/>
      <c r="H39" s="23"/>
      <c r="I39" s="24">
        <v>1801.33</v>
      </c>
      <c r="J39" s="24"/>
      <c r="K39" s="24"/>
      <c r="L39" s="24">
        <v>1143.4369999999999</v>
      </c>
      <c r="M39" s="24"/>
      <c r="N39" s="25"/>
      <c r="O39" s="24"/>
      <c r="P39" s="24"/>
      <c r="Q39" s="25"/>
      <c r="R39" s="24"/>
      <c r="S39" s="24"/>
      <c r="T39" s="25"/>
      <c r="U39" s="24"/>
      <c r="V39" s="24">
        <f>417.2*0.916+955.38</f>
        <v>1337.5352</v>
      </c>
      <c r="W39" s="20">
        <f t="shared" si="5"/>
        <v>74.25264665552676</v>
      </c>
      <c r="X39" s="23"/>
      <c r="Y39" s="24">
        <f>V39*1.058</f>
        <v>1415.1122416000001</v>
      </c>
      <c r="Z39" s="20"/>
      <c r="AA39" s="23"/>
      <c r="AB39" s="24">
        <f>Y39</f>
        <v>1415.1122416000001</v>
      </c>
      <c r="AC39" s="20">
        <f t="shared" si="12"/>
        <v>100</v>
      </c>
      <c r="AD39" s="21"/>
      <c r="AE39" s="21"/>
    </row>
    <row r="40" spans="5:31">
      <c r="E40" s="17"/>
      <c r="F40" s="27" t="s">
        <v>142</v>
      </c>
      <c r="G40" s="23"/>
      <c r="H40" s="23"/>
      <c r="I40" s="24">
        <v>4.51</v>
      </c>
      <c r="J40" s="24"/>
      <c r="K40" s="24"/>
      <c r="L40" s="24">
        <v>1.4379999999999999</v>
      </c>
      <c r="M40" s="24"/>
      <c r="N40" s="25"/>
      <c r="O40" s="24"/>
      <c r="P40" s="24"/>
      <c r="Q40" s="25"/>
      <c r="R40" s="24"/>
      <c r="S40" s="24"/>
      <c r="T40" s="25"/>
      <c r="U40" s="24"/>
      <c r="V40" s="24">
        <v>2.74</v>
      </c>
      <c r="W40" s="20"/>
      <c r="X40" s="23"/>
      <c r="Y40" s="24">
        <f>V40*1.058</f>
        <v>2.8989200000000004</v>
      </c>
      <c r="Z40" s="20"/>
      <c r="AA40" s="23"/>
      <c r="AB40" s="24">
        <f>Y40</f>
        <v>2.8989200000000004</v>
      </c>
      <c r="AC40" s="20">
        <f t="shared" si="12"/>
        <v>100</v>
      </c>
      <c r="AD40" s="21"/>
      <c r="AE40" s="21"/>
    </row>
    <row r="41" spans="5:31">
      <c r="E41" s="17"/>
      <c r="F41" s="27" t="s">
        <v>143</v>
      </c>
      <c r="G41" s="23"/>
      <c r="H41" s="23"/>
      <c r="I41" s="24">
        <v>221.8</v>
      </c>
      <c r="J41" s="24"/>
      <c r="K41" s="24"/>
      <c r="L41" s="24">
        <v>3.2810000000000001</v>
      </c>
      <c r="M41" s="24"/>
      <c r="N41" s="25"/>
      <c r="O41" s="24"/>
      <c r="P41" s="24"/>
      <c r="Q41" s="25"/>
      <c r="R41" s="24"/>
      <c r="S41" s="24"/>
      <c r="T41" s="25"/>
      <c r="U41" s="24"/>
      <c r="V41" s="24">
        <f>3.9*0.916+232.81-0.13</f>
        <v>236.25239999999999</v>
      </c>
      <c r="W41" s="20"/>
      <c r="X41" s="23"/>
      <c r="Y41" s="24">
        <f>V41*1.058</f>
        <v>249.95503920000002</v>
      </c>
      <c r="Z41" s="20"/>
      <c r="AA41" s="23"/>
      <c r="AB41" s="24">
        <f>Y41</f>
        <v>249.95503920000002</v>
      </c>
      <c r="AC41" s="20">
        <f t="shared" si="12"/>
        <v>100</v>
      </c>
      <c r="AD41" s="21"/>
      <c r="AE41" s="21"/>
    </row>
    <row r="42" spans="5:31">
      <c r="E42" s="17" t="s">
        <v>80</v>
      </c>
      <c r="F42" s="22" t="s">
        <v>81</v>
      </c>
      <c r="G42" s="23">
        <v>2415.4</v>
      </c>
      <c r="H42" s="23">
        <v>3294.3</v>
      </c>
      <c r="I42" s="24">
        <v>2286.39</v>
      </c>
      <c r="J42" s="24">
        <f>'[1]Таблица 5.3'!J18</f>
        <v>1742.2832999999998</v>
      </c>
      <c r="K42" s="24">
        <f>'[1]Таблица 5.3'!K18</f>
        <v>0</v>
      </c>
      <c r="L42" s="24">
        <v>2677.1529999999998</v>
      </c>
      <c r="M42" s="24">
        <v>3029.59</v>
      </c>
      <c r="N42" s="25">
        <f t="shared" si="2"/>
        <v>132.5053905939057</v>
      </c>
      <c r="O42" s="24">
        <f>'[1]Таблица 5.3'!M18</f>
        <v>0</v>
      </c>
      <c r="P42" s="24">
        <v>3150.77</v>
      </c>
      <c r="Q42" s="25">
        <f t="shared" si="3"/>
        <v>103.99988117203978</v>
      </c>
      <c r="R42" s="24">
        <f>'[1]Таблица 5.3'!O18</f>
        <v>0</v>
      </c>
      <c r="S42" s="24">
        <v>3311.46</v>
      </c>
      <c r="T42" s="25">
        <f t="shared" si="4"/>
        <v>105.10002316893964</v>
      </c>
      <c r="U42" s="24">
        <f>'[1]Таблица 5.3'!T18</f>
        <v>2035.7583646242531</v>
      </c>
      <c r="V42" s="24">
        <f>'[1]Таблица 5.3'!R18+'[1]Смета комбин'!U38*0.91698-51.86</f>
        <v>2741.9269512241272</v>
      </c>
      <c r="W42" s="20">
        <f t="shared" si="5"/>
        <v>119.92385162741822</v>
      </c>
      <c r="X42" s="23">
        <f>'[1]Таблица 5.3'!V18</f>
        <v>2146.5438258875133</v>
      </c>
      <c r="Y42" s="24">
        <f>V42*1.058-88.25</f>
        <v>2812.7087143951267</v>
      </c>
      <c r="Z42" s="20">
        <f t="shared" si="8"/>
        <v>102.58146057244156</v>
      </c>
      <c r="AA42" s="23">
        <f>'[1]Таблица 5.3'!X18</f>
        <v>0</v>
      </c>
      <c r="AB42" s="24">
        <f t="shared" si="14"/>
        <v>2812.7087143951267</v>
      </c>
      <c r="AC42" s="20">
        <f t="shared" si="12"/>
        <v>100</v>
      </c>
      <c r="AD42" s="21"/>
      <c r="AE42" s="21"/>
    </row>
    <row r="43" spans="5:31">
      <c r="E43" s="17" t="s">
        <v>82</v>
      </c>
      <c r="F43" s="22" t="s">
        <v>83</v>
      </c>
      <c r="G43" s="23">
        <v>0</v>
      </c>
      <c r="H43" s="23">
        <v>0</v>
      </c>
      <c r="I43" s="24">
        <v>0</v>
      </c>
      <c r="J43" s="24">
        <f>'[1]Таблица 5.3'!J19</f>
        <v>0</v>
      </c>
      <c r="K43" s="24">
        <f>'[1]Таблица 5.3'!K19</f>
        <v>0</v>
      </c>
      <c r="L43" s="24">
        <v>0</v>
      </c>
      <c r="M43" s="24">
        <f>'[1]Таблица 5.3'!L19</f>
        <v>0</v>
      </c>
      <c r="N43" s="25">
        <f t="shared" si="2"/>
        <v>0</v>
      </c>
      <c r="O43" s="24">
        <f>'[1]Таблица 5.3'!M19</f>
        <v>0</v>
      </c>
      <c r="P43" s="24">
        <f>'[1]Таблица 5.3'!N19</f>
        <v>0</v>
      </c>
      <c r="Q43" s="25">
        <f t="shared" si="3"/>
        <v>0</v>
      </c>
      <c r="R43" s="24">
        <f>'[1]Таблица 5.3'!O19</f>
        <v>0</v>
      </c>
      <c r="S43" s="24">
        <f>'[1]Таблица 5.3'!P19</f>
        <v>0</v>
      </c>
      <c r="T43" s="25">
        <f t="shared" si="4"/>
        <v>0</v>
      </c>
      <c r="U43" s="24">
        <f>'[1]Таблица 5.3'!T19</f>
        <v>0</v>
      </c>
      <c r="V43" s="24">
        <f>'[1]Таблица 5.3'!R19</f>
        <v>0</v>
      </c>
      <c r="W43" s="20">
        <f t="shared" si="5"/>
        <v>0</v>
      </c>
      <c r="X43" s="23">
        <f>'[1]Таблица 5.3'!V19</f>
        <v>0</v>
      </c>
      <c r="Y43" s="24">
        <f t="shared" si="13"/>
        <v>0</v>
      </c>
      <c r="Z43" s="20">
        <f t="shared" si="8"/>
        <v>0</v>
      </c>
      <c r="AA43" s="23">
        <f>'[1]Таблица 5.3'!X19</f>
        <v>0</v>
      </c>
      <c r="AB43" s="24">
        <f t="shared" si="14"/>
        <v>0</v>
      </c>
      <c r="AC43" s="20"/>
      <c r="AD43" s="21"/>
      <c r="AE43" s="21"/>
    </row>
    <row r="44" spans="5:31">
      <c r="E44" s="17" t="s">
        <v>84</v>
      </c>
      <c r="F44" s="22" t="s">
        <v>85</v>
      </c>
      <c r="G44" s="23">
        <v>5810.6</v>
      </c>
      <c r="H44" s="23">
        <v>6763.6840000000002</v>
      </c>
      <c r="I44" s="24">
        <v>6039.87</v>
      </c>
      <c r="J44" s="24">
        <f>'[1]Таблица 5.3'!J20</f>
        <v>5662</v>
      </c>
      <c r="K44" s="24">
        <f>'[1]Таблица 5.3'!K20</f>
        <v>5848</v>
      </c>
      <c r="L44" s="24">
        <v>6232.0739999999996</v>
      </c>
      <c r="M44" s="24">
        <v>7336.83</v>
      </c>
      <c r="N44" s="25">
        <f t="shared" si="2"/>
        <v>121.47330985600684</v>
      </c>
      <c r="O44" s="24">
        <f>'[1]Таблица 5.3'!M20</f>
        <v>5848</v>
      </c>
      <c r="P44" s="24">
        <f>M44</f>
        <v>7336.83</v>
      </c>
      <c r="Q44" s="25">
        <f t="shared" si="3"/>
        <v>100</v>
      </c>
      <c r="R44" s="24">
        <f>'[1]Таблица 5.3'!O20</f>
        <v>5848</v>
      </c>
      <c r="S44" s="24">
        <f>P44</f>
        <v>7336.83</v>
      </c>
      <c r="T44" s="25">
        <f t="shared" si="4"/>
        <v>100</v>
      </c>
      <c r="U44" s="24">
        <f>'[1]Таблица 5.3'!T20</f>
        <v>5848</v>
      </c>
      <c r="V44" s="24">
        <f>'[1]Таблица 5.3'!R20+'[1]Смета комбин'!U40*0.91698-1121.89</f>
        <v>6039.8672459999998</v>
      </c>
      <c r="W44" s="20">
        <f t="shared" si="5"/>
        <v>99.999954402992117</v>
      </c>
      <c r="X44" s="23">
        <f>'[1]Таблица 5.3'!V20</f>
        <v>5848</v>
      </c>
      <c r="Y44" s="24">
        <f>V44</f>
        <v>6039.8672459999998</v>
      </c>
      <c r="Z44" s="20">
        <f t="shared" si="8"/>
        <v>100</v>
      </c>
      <c r="AA44" s="23">
        <f>'[1]Таблица 5.3'!X20</f>
        <v>0</v>
      </c>
      <c r="AB44" s="24">
        <f t="shared" si="14"/>
        <v>6039.8672459999998</v>
      </c>
      <c r="AC44" s="20">
        <f t="shared" si="12"/>
        <v>100</v>
      </c>
      <c r="AD44" s="21"/>
      <c r="AE44" s="21"/>
    </row>
    <row r="45" spans="5:31" ht="25.5">
      <c r="E45" s="17" t="s">
        <v>86</v>
      </c>
      <c r="F45" s="22" t="s">
        <v>87</v>
      </c>
      <c r="G45" s="23">
        <v>0</v>
      </c>
      <c r="H45" s="23">
        <v>0</v>
      </c>
      <c r="I45" s="24">
        <v>0</v>
      </c>
      <c r="J45" s="24">
        <f>'[1]Таблица 5.3'!J21</f>
        <v>0</v>
      </c>
      <c r="K45" s="24">
        <f>'[1]Таблица 5.3'!K21</f>
        <v>0</v>
      </c>
      <c r="L45" s="24">
        <v>0</v>
      </c>
      <c r="M45" s="24">
        <f>'[1]Таблица 5.3'!L21+'[1]Смета комбин'!L41*0.91698</f>
        <v>0.69885980136000003</v>
      </c>
      <c r="N45" s="25">
        <f t="shared" si="2"/>
        <v>0</v>
      </c>
      <c r="O45" s="24">
        <f>'[1]Таблица 5.3'!M21</f>
        <v>0</v>
      </c>
      <c r="P45" s="24">
        <f>'[1]Таблица 5.3'!N21+'[1]Смета комбин'!O41*0.916</f>
        <v>0.72603742847999997</v>
      </c>
      <c r="Q45" s="25">
        <f t="shared" si="3"/>
        <v>103.88885253767801</v>
      </c>
      <c r="R45" s="24">
        <f>'[1]Таблица 5.3'!O21</f>
        <v>0</v>
      </c>
      <c r="S45" s="24">
        <f>'[1]Таблица 5.3'!P21</f>
        <v>0</v>
      </c>
      <c r="T45" s="25">
        <f t="shared" si="4"/>
        <v>0</v>
      </c>
      <c r="U45" s="24">
        <f>'[1]Таблица 5.3'!T21</f>
        <v>0</v>
      </c>
      <c r="V45" s="24">
        <f>'[1]Таблица 5.3'!R21+'[1]Смета комбин'!U41*0.91698</f>
        <v>0</v>
      </c>
      <c r="W45" s="20">
        <f t="shared" si="5"/>
        <v>0</v>
      </c>
      <c r="X45" s="23">
        <f>'[1]Таблица 5.3'!V21</f>
        <v>0</v>
      </c>
      <c r="Y45" s="24">
        <v>0</v>
      </c>
      <c r="Z45" s="20">
        <f t="shared" si="8"/>
        <v>0</v>
      </c>
      <c r="AA45" s="23">
        <f>'[1]Таблица 5.3'!X21</f>
        <v>0</v>
      </c>
      <c r="AB45" s="24">
        <f t="shared" si="14"/>
        <v>0</v>
      </c>
      <c r="AC45" s="20"/>
      <c r="AD45" s="21"/>
      <c r="AE45" s="21"/>
    </row>
    <row r="46" spans="5:31">
      <c r="E46" s="17" t="s">
        <v>88</v>
      </c>
      <c r="F46" s="22" t="s">
        <v>89</v>
      </c>
      <c r="G46" s="23"/>
      <c r="H46" s="23"/>
      <c r="I46" s="24"/>
      <c r="J46" s="24">
        <f>'[1]Таблица 5.3'!J22</f>
        <v>8683.1283000000003</v>
      </c>
      <c r="K46" s="24">
        <f>'[1]Таблица 5.3'!K22</f>
        <v>5848</v>
      </c>
      <c r="L46" s="24"/>
      <c r="M46" s="24"/>
      <c r="N46" s="25"/>
      <c r="O46" s="24"/>
      <c r="P46" s="24"/>
      <c r="Q46" s="25"/>
      <c r="R46" s="24"/>
      <c r="S46" s="24"/>
      <c r="T46" s="25"/>
      <c r="U46" s="24"/>
      <c r="V46" s="24"/>
      <c r="W46" s="20"/>
      <c r="X46" s="23"/>
      <c r="Y46" s="24"/>
      <c r="Z46" s="20"/>
      <c r="AA46" s="23"/>
      <c r="AB46" s="24">
        <f t="shared" si="14"/>
        <v>0</v>
      </c>
      <c r="AC46" s="20"/>
      <c r="AD46" s="21"/>
      <c r="AE46" s="21"/>
    </row>
    <row r="47" spans="5:31">
      <c r="E47" s="17" t="s">
        <v>90</v>
      </c>
      <c r="F47" s="22" t="s">
        <v>91</v>
      </c>
      <c r="G47" s="23">
        <v>128.08000000000001</v>
      </c>
      <c r="H47" s="23">
        <v>322</v>
      </c>
      <c r="I47" s="24">
        <v>148.97999999999999</v>
      </c>
      <c r="J47" s="24">
        <f>'[1]Таблица 5.3'!J23</f>
        <v>0</v>
      </c>
      <c r="K47" s="24">
        <f>'[1]Таблица 5.3'!K23</f>
        <v>0</v>
      </c>
      <c r="L47" s="24">
        <v>0</v>
      </c>
      <c r="M47" s="24">
        <v>231.06</v>
      </c>
      <c r="N47" s="25">
        <f t="shared" si="2"/>
        <v>155.09464357631899</v>
      </c>
      <c r="O47" s="24">
        <f>'[1]Таблица 5.3'!M23</f>
        <v>0</v>
      </c>
      <c r="P47" s="24">
        <v>240.31</v>
      </c>
      <c r="Q47" s="25">
        <f t="shared" si="3"/>
        <v>104.00328918895525</v>
      </c>
      <c r="R47" s="24">
        <f>'[1]Таблица 5.3'!O23</f>
        <v>0</v>
      </c>
      <c r="S47" s="24">
        <v>252.56</v>
      </c>
      <c r="T47" s="25">
        <f t="shared" si="4"/>
        <v>105.09758228954267</v>
      </c>
      <c r="U47" s="24">
        <f>'[1]Таблица 5.3'!T23</f>
        <v>112.5072</v>
      </c>
      <c r="V47" s="24">
        <f>'[1]Таблица 5.3'!R23+'[1]Смета комбин'!U43*0.91698-1.61</f>
        <v>196.43432793171999</v>
      </c>
      <c r="W47" s="20">
        <f t="shared" si="5"/>
        <v>131.8528177820647</v>
      </c>
      <c r="X47" s="23">
        <f>'[1]Таблица 5.3'!V23</f>
        <v>118.24506719999998</v>
      </c>
      <c r="Y47" s="24">
        <f>'[1]Таблица 5.3'!T23+'[1]Смета комбин'!X43*0.91698</f>
        <v>203.26468315175978</v>
      </c>
      <c r="Z47" s="20">
        <f t="shared" si="8"/>
        <v>103.47716984702085</v>
      </c>
      <c r="AA47" s="23">
        <f>'[1]Таблица 5.3'!X23</f>
        <v>0</v>
      </c>
      <c r="AB47" s="24">
        <v>772.7</v>
      </c>
      <c r="AC47" s="20">
        <f t="shared" si="12"/>
        <v>380.14473937073132</v>
      </c>
      <c r="AD47" s="21"/>
      <c r="AE47" s="21"/>
    </row>
    <row r="48" spans="5:31" ht="28.5" customHeight="1">
      <c r="E48" s="17" t="s">
        <v>92</v>
      </c>
      <c r="F48" s="22" t="s">
        <v>93</v>
      </c>
      <c r="G48" s="23">
        <v>0</v>
      </c>
      <c r="H48" s="23">
        <v>0</v>
      </c>
      <c r="I48" s="24">
        <v>0</v>
      </c>
      <c r="J48" s="24">
        <f>'[1]Таблица 5.3'!J24</f>
        <v>0</v>
      </c>
      <c r="K48" s="24">
        <f>'[1]Таблица 5.3'!K24</f>
        <v>0</v>
      </c>
      <c r="L48" s="24">
        <v>0</v>
      </c>
      <c r="M48" s="24">
        <f>'[1]Таблица 5.3'!L24</f>
        <v>0</v>
      </c>
      <c r="N48" s="25">
        <f t="shared" si="2"/>
        <v>0</v>
      </c>
      <c r="O48" s="24">
        <f>'[1]Таблица 5.3'!M24</f>
        <v>0</v>
      </c>
      <c r="P48" s="24">
        <f>'[1]Таблица 5.3'!N24</f>
        <v>0</v>
      </c>
      <c r="Q48" s="25">
        <f t="shared" si="3"/>
        <v>0</v>
      </c>
      <c r="R48" s="24">
        <f>'[1]Таблица 5.3'!O24</f>
        <v>0</v>
      </c>
      <c r="S48" s="24">
        <f>'[1]Таблица 5.3'!P24</f>
        <v>0</v>
      </c>
      <c r="T48" s="25">
        <f t="shared" si="4"/>
        <v>0</v>
      </c>
      <c r="U48" s="24">
        <f>'[1]Таблица 5.3'!T24</f>
        <v>0</v>
      </c>
      <c r="V48" s="24">
        <f>'[1]Таблица 5.3'!R24</f>
        <v>0</v>
      </c>
      <c r="W48" s="20">
        <f t="shared" si="5"/>
        <v>0</v>
      </c>
      <c r="X48" s="23">
        <f>'[1]Таблица 5.3'!V24</f>
        <v>0</v>
      </c>
      <c r="Y48" s="24">
        <f>'[1]Таблица 5.3'!T24</f>
        <v>0</v>
      </c>
      <c r="Z48" s="20">
        <f t="shared" si="8"/>
        <v>0</v>
      </c>
      <c r="AA48" s="23">
        <f>'[1]Таблица 5.3'!X24</f>
        <v>0</v>
      </c>
      <c r="AB48" s="24">
        <f>'[1]Таблица 5.3'!V24</f>
        <v>0</v>
      </c>
      <c r="AC48" s="20"/>
      <c r="AD48" s="21"/>
      <c r="AE48" s="21"/>
    </row>
    <row r="49" spans="4:31" ht="26.25" customHeight="1">
      <c r="D49" s="16" t="s">
        <v>23</v>
      </c>
      <c r="E49" s="17" t="s">
        <v>16</v>
      </c>
      <c r="F49" s="18" t="s">
        <v>94</v>
      </c>
      <c r="G49" s="23">
        <v>47567.87</v>
      </c>
      <c r="H49" s="23">
        <v>43384</v>
      </c>
      <c r="I49" s="24">
        <v>49239.54</v>
      </c>
      <c r="J49" s="42">
        <f>'[1]Таблица 5.4'!J16</f>
        <v>3216.1248000000001</v>
      </c>
      <c r="K49" s="24">
        <f>'[1]Таблица 5.4'!K16</f>
        <v>0</v>
      </c>
      <c r="L49" s="24">
        <f>L50+L51</f>
        <v>49216.164000000004</v>
      </c>
      <c r="M49" s="24">
        <v>54741.31</v>
      </c>
      <c r="N49" s="25">
        <f t="shared" si="2"/>
        <v>111.17347968725946</v>
      </c>
      <c r="O49" s="24">
        <f>'[1]Таблица 5.4'!M16</f>
        <v>0</v>
      </c>
      <c r="P49" s="24">
        <v>57496.44</v>
      </c>
      <c r="Q49" s="25">
        <f t="shared" si="3"/>
        <v>105.03299975831781</v>
      </c>
      <c r="R49" s="24">
        <f>'[1]Таблица 5.4'!O16</f>
        <v>0</v>
      </c>
      <c r="S49" s="24">
        <v>60327.95</v>
      </c>
      <c r="T49" s="25">
        <f t="shared" si="4"/>
        <v>104.92467011870647</v>
      </c>
      <c r="U49" s="24">
        <f>'[1]Таблица 5.4'!T16</f>
        <v>3788.9013120000009</v>
      </c>
      <c r="V49" s="24">
        <f>V50+V51</f>
        <v>48311.634334539442</v>
      </c>
      <c r="W49" s="20">
        <f t="shared" si="5"/>
        <v>98.115527347614218</v>
      </c>
      <c r="X49" s="23">
        <f>'[1]Таблица 5.4'!V16</f>
        <v>3834.7205836800008</v>
      </c>
      <c r="Y49" s="24">
        <f>Y50+Y51</f>
        <v>51504.907961756668</v>
      </c>
      <c r="Z49" s="20">
        <f t="shared" si="8"/>
        <v>106.60974043044173</v>
      </c>
      <c r="AA49" s="23">
        <f>'[1]Таблица 5.4'!X16</f>
        <v>0</v>
      </c>
      <c r="AB49" s="24">
        <f>AB50+AB51</f>
        <v>57571.13</v>
      </c>
      <c r="AC49" s="20">
        <f t="shared" si="12"/>
        <v>111.77794947764514</v>
      </c>
      <c r="AD49" s="21"/>
      <c r="AE49" s="21"/>
    </row>
    <row r="50" spans="4:31">
      <c r="E50" s="17" t="s">
        <v>95</v>
      </c>
      <c r="F50" s="22" t="s">
        <v>96</v>
      </c>
      <c r="G50" s="23">
        <v>44673.39</v>
      </c>
      <c r="H50" s="23">
        <v>41179.5</v>
      </c>
      <c r="I50" s="24">
        <v>46168.53</v>
      </c>
      <c r="J50" s="42">
        <f>'[1]Таблица 5.4'!J11</f>
        <v>0</v>
      </c>
      <c r="K50" s="24">
        <f>'[1]Таблица 5.4'!K11</f>
        <v>0</v>
      </c>
      <c r="L50" s="24">
        <v>45463.4</v>
      </c>
      <c r="M50" s="24">
        <v>51206.87</v>
      </c>
      <c r="N50" s="25">
        <f t="shared" si="2"/>
        <v>110.91293138421345</v>
      </c>
      <c r="O50" s="24">
        <f>'[1]Таблица 5.4'!M11</f>
        <v>0</v>
      </c>
      <c r="P50" s="24">
        <v>53650.96</v>
      </c>
      <c r="Q50" s="25">
        <f t="shared" si="3"/>
        <v>104.77297284524518</v>
      </c>
      <c r="R50" s="24">
        <f>'[1]Таблица 5.4'!O11</f>
        <v>0</v>
      </c>
      <c r="S50" s="24">
        <v>56527.77</v>
      </c>
      <c r="T50" s="25">
        <f t="shared" si="4"/>
        <v>105.36208485365405</v>
      </c>
      <c r="U50" s="24">
        <f>'[1]Таблица 5.4'!T11</f>
        <v>0</v>
      </c>
      <c r="V50" s="24">
        <f>'[1]Смета комбин'!U46*0.91698-1411.28</f>
        <v>45713.34703609268</v>
      </c>
      <c r="W50" s="20">
        <f t="shared" si="5"/>
        <v>99.014083914070213</v>
      </c>
      <c r="X50" s="23">
        <f>'[1]Таблица 5.4'!V11</f>
        <v>0</v>
      </c>
      <c r="Y50" s="24">
        <v>48755.92</v>
      </c>
      <c r="Z50" s="20">
        <f t="shared" si="8"/>
        <v>106.65576502526729</v>
      </c>
      <c r="AA50" s="23">
        <f>'[1]Таблица 5.4'!X11</f>
        <v>0</v>
      </c>
      <c r="AB50" s="64">
        <f>58582.6*0.9</f>
        <v>52724.34</v>
      </c>
      <c r="AC50" s="20">
        <f t="shared" si="12"/>
        <v>108.13936030742524</v>
      </c>
      <c r="AD50" s="21"/>
      <c r="AE50" s="21"/>
    </row>
    <row r="51" spans="4:31">
      <c r="E51" s="17" t="s">
        <v>97</v>
      </c>
      <c r="F51" s="22" t="s">
        <v>98</v>
      </c>
      <c r="G51" s="23">
        <v>2894.48</v>
      </c>
      <c r="H51" s="23">
        <v>2204.5</v>
      </c>
      <c r="I51" s="24">
        <v>3071.01</v>
      </c>
      <c r="J51" s="42">
        <f>'[1]Таблица 5.4'!J12</f>
        <v>3216.1248000000001</v>
      </c>
      <c r="K51" s="24">
        <f>'[1]Таблица 5.4'!K12</f>
        <v>0</v>
      </c>
      <c r="L51" s="24">
        <v>3752.7640000000001</v>
      </c>
      <c r="M51" s="24">
        <f>'[1]Таблица 5.4'!L12+'[1]Смета комбин'!L47*0.91698</f>
        <v>3534.4637490467599</v>
      </c>
      <c r="N51" s="25">
        <f t="shared" si="2"/>
        <v>115.09124845072989</v>
      </c>
      <c r="O51" s="24">
        <f>'[1]Таблица 5.4'!M12</f>
        <v>0</v>
      </c>
      <c r="P51" s="24">
        <f>'[1]Таблица 5.4'!N12+'[1]Смета комбин'!O47*0.916</f>
        <v>3845.4889477760007</v>
      </c>
      <c r="Q51" s="25">
        <f t="shared" si="3"/>
        <v>108.79978465794491</v>
      </c>
      <c r="R51" s="24">
        <f>'[1]Таблица 5.4'!O12</f>
        <v>0</v>
      </c>
      <c r="S51" s="24">
        <f>'[1]Таблица 5.4'!P12</f>
        <v>3788.9013120000009</v>
      </c>
      <c r="T51" s="25">
        <f t="shared" si="4"/>
        <v>98.528467080662736</v>
      </c>
      <c r="U51" s="24">
        <f>'[1]Таблица 5.4'!T12</f>
        <v>3788.9013120000009</v>
      </c>
      <c r="V51" s="24">
        <f>'[1]Таблица 5.4'!R12+'[1]Смета комбин'!U47*0.91698-934.37</f>
        <v>2598.2872984467599</v>
      </c>
      <c r="W51" s="20">
        <f t="shared" si="5"/>
        <v>84.606930568339394</v>
      </c>
      <c r="X51" s="23">
        <f>'[1]Таблица 5.4'!V12</f>
        <v>3834.7205836800008</v>
      </c>
      <c r="Y51" s="24">
        <f>V51*1.058</f>
        <v>2748.9879617566721</v>
      </c>
      <c r="Z51" s="20">
        <f t="shared" si="8"/>
        <v>105.80000000000001</v>
      </c>
      <c r="AA51" s="23">
        <f>'[1]Таблица 5.4'!X12</f>
        <v>0</v>
      </c>
      <c r="AB51" s="64">
        <f>4846.79</f>
        <v>4846.79</v>
      </c>
      <c r="AC51" s="20">
        <f t="shared" si="12"/>
        <v>176.31179428311427</v>
      </c>
      <c r="AD51" s="21"/>
      <c r="AE51" s="21"/>
    </row>
    <row r="52" spans="4:31">
      <c r="E52" s="17" t="s">
        <v>99</v>
      </c>
      <c r="F52" s="22" t="s">
        <v>100</v>
      </c>
      <c r="G52" s="23">
        <v>0</v>
      </c>
      <c r="H52" s="23">
        <v>0</v>
      </c>
      <c r="I52" s="24">
        <v>0</v>
      </c>
      <c r="J52" s="42">
        <f>'[1]Таблица 5.4'!J13</f>
        <v>0</v>
      </c>
      <c r="K52" s="24">
        <f>'[1]Таблица 5.4'!K13</f>
        <v>0</v>
      </c>
      <c r="L52" s="24">
        <v>0</v>
      </c>
      <c r="M52" s="24">
        <f>'[1]Таблица 5.4'!L13</f>
        <v>0</v>
      </c>
      <c r="N52" s="25">
        <f t="shared" si="2"/>
        <v>0</v>
      </c>
      <c r="O52" s="24">
        <f>'[1]Таблица 5.4'!M13</f>
        <v>0</v>
      </c>
      <c r="P52" s="24">
        <f>'[1]Таблица 5.4'!N13</f>
        <v>0</v>
      </c>
      <c r="Q52" s="25">
        <f t="shared" si="3"/>
        <v>0</v>
      </c>
      <c r="R52" s="24">
        <f>'[1]Таблица 5.4'!O13</f>
        <v>0</v>
      </c>
      <c r="S52" s="24">
        <f>'[1]Таблица 5.4'!P13</f>
        <v>0</v>
      </c>
      <c r="T52" s="25">
        <f t="shared" si="4"/>
        <v>0</v>
      </c>
      <c r="U52" s="24">
        <f>'[1]Таблица 5.4'!T13</f>
        <v>0</v>
      </c>
      <c r="V52" s="24">
        <f>'[1]Таблица 5.4'!R13</f>
        <v>0</v>
      </c>
      <c r="W52" s="20">
        <f t="shared" si="5"/>
        <v>0</v>
      </c>
      <c r="X52" s="23">
        <f>'[1]Таблица 5.4'!V13</f>
        <v>0</v>
      </c>
      <c r="Y52" s="24">
        <f>'[1]Таблица 5.4'!T13</f>
        <v>0</v>
      </c>
      <c r="Z52" s="20">
        <f t="shared" si="8"/>
        <v>0</v>
      </c>
      <c r="AA52" s="23">
        <f>'[1]Таблица 5.4'!X13</f>
        <v>0</v>
      </c>
      <c r="AB52" s="24">
        <f>'[1]Таблица 5.4'!V13</f>
        <v>0</v>
      </c>
      <c r="AC52" s="20"/>
      <c r="AD52" s="21"/>
      <c r="AE52" s="21"/>
    </row>
    <row r="53" spans="4:31">
      <c r="E53" s="17" t="s">
        <v>101</v>
      </c>
      <c r="F53" s="22" t="s">
        <v>102</v>
      </c>
      <c r="G53" s="23">
        <v>0</v>
      </c>
      <c r="H53" s="23">
        <v>0</v>
      </c>
      <c r="I53" s="24">
        <v>0</v>
      </c>
      <c r="J53" s="42">
        <f>'[1]Таблица 5.4'!J14</f>
        <v>0</v>
      </c>
      <c r="K53" s="24">
        <f>'[1]Таблица 5.4'!K14</f>
        <v>0</v>
      </c>
      <c r="L53" s="24">
        <v>0</v>
      </c>
      <c r="M53" s="24">
        <f>'[1]Таблица 5.4'!L14</f>
        <v>0</v>
      </c>
      <c r="N53" s="25">
        <f t="shared" si="2"/>
        <v>0</v>
      </c>
      <c r="O53" s="24">
        <f>'[1]Таблица 5.4'!M14</f>
        <v>0</v>
      </c>
      <c r="P53" s="24">
        <f>'[1]Таблица 5.4'!N14</f>
        <v>0</v>
      </c>
      <c r="Q53" s="25">
        <f t="shared" si="3"/>
        <v>0</v>
      </c>
      <c r="R53" s="24">
        <f>'[1]Таблица 5.4'!O14</f>
        <v>0</v>
      </c>
      <c r="S53" s="24">
        <f>'[1]Таблица 5.4'!P14</f>
        <v>0</v>
      </c>
      <c r="T53" s="25">
        <f t="shared" si="4"/>
        <v>0</v>
      </c>
      <c r="U53" s="24">
        <f>'[1]Таблица 5.4'!T14</f>
        <v>0</v>
      </c>
      <c r="V53" s="24">
        <f>'[1]Таблица 5.4'!R14</f>
        <v>0</v>
      </c>
      <c r="W53" s="20">
        <f t="shared" si="5"/>
        <v>0</v>
      </c>
      <c r="X53" s="23">
        <f>'[1]Таблица 5.4'!V14</f>
        <v>0</v>
      </c>
      <c r="Y53" s="24">
        <f>'[1]Таблица 5.4'!T14</f>
        <v>0</v>
      </c>
      <c r="Z53" s="20">
        <f t="shared" si="8"/>
        <v>0</v>
      </c>
      <c r="AA53" s="23">
        <f>'[1]Таблица 5.4'!X14</f>
        <v>0</v>
      </c>
      <c r="AB53" s="24">
        <f>'[1]Таблица 5.4'!V14</f>
        <v>0</v>
      </c>
      <c r="AC53" s="20"/>
      <c r="AD53" s="21"/>
      <c r="AE53" s="21"/>
    </row>
    <row r="54" spans="4:31">
      <c r="E54" s="17" t="s">
        <v>103</v>
      </c>
      <c r="F54" s="22" t="s">
        <v>104</v>
      </c>
      <c r="G54" s="23">
        <v>0</v>
      </c>
      <c r="H54" s="23">
        <v>0</v>
      </c>
      <c r="I54" s="24">
        <v>0</v>
      </c>
      <c r="J54" s="42">
        <f>'[1]Таблица 5.4'!J15</f>
        <v>0</v>
      </c>
      <c r="K54" s="24">
        <f>'[1]Таблица 5.4'!K15</f>
        <v>0</v>
      </c>
      <c r="L54" s="24">
        <v>0</v>
      </c>
      <c r="M54" s="24">
        <f>'[1]Таблица 5.4'!L15</f>
        <v>0</v>
      </c>
      <c r="N54" s="25">
        <f t="shared" si="2"/>
        <v>0</v>
      </c>
      <c r="O54" s="24">
        <f>'[1]Таблица 5.4'!M15</f>
        <v>0</v>
      </c>
      <c r="P54" s="24">
        <f>'[1]Таблица 5.4'!N15</f>
        <v>0</v>
      </c>
      <c r="Q54" s="25">
        <f t="shared" si="3"/>
        <v>0</v>
      </c>
      <c r="R54" s="24">
        <f>'[1]Таблица 5.4'!O15</f>
        <v>0</v>
      </c>
      <c r="S54" s="24">
        <f>'[1]Таблица 5.4'!P15</f>
        <v>0</v>
      </c>
      <c r="T54" s="25">
        <f t="shared" si="4"/>
        <v>0</v>
      </c>
      <c r="U54" s="24">
        <f>'[1]Таблица 5.4'!T15</f>
        <v>0</v>
      </c>
      <c r="V54" s="24">
        <f>'[1]Таблица 5.4'!R15</f>
        <v>0</v>
      </c>
      <c r="W54" s="20">
        <f t="shared" si="5"/>
        <v>0</v>
      </c>
      <c r="X54" s="23">
        <f>'[1]Таблица 5.4'!V15</f>
        <v>0</v>
      </c>
      <c r="Y54" s="24">
        <f>'[1]Таблица 5.4'!T15</f>
        <v>0</v>
      </c>
      <c r="Z54" s="20">
        <f t="shared" si="8"/>
        <v>0</v>
      </c>
      <c r="AA54" s="23">
        <f>'[1]Таблица 5.4'!X15</f>
        <v>0</v>
      </c>
      <c r="AB54" s="24">
        <f>'[1]Таблица 5.4'!V15</f>
        <v>0</v>
      </c>
      <c r="AC54" s="20"/>
      <c r="AD54" s="21"/>
      <c r="AE54" s="21"/>
    </row>
    <row r="55" spans="4:31">
      <c r="E55" s="17" t="s">
        <v>105</v>
      </c>
      <c r="F55" s="18" t="s">
        <v>106</v>
      </c>
      <c r="G55" s="43">
        <v>654.24</v>
      </c>
      <c r="H55" s="23">
        <v>805.7</v>
      </c>
      <c r="I55" s="24">
        <v>678.80000000000007</v>
      </c>
      <c r="J55" s="24">
        <f>[1]Прибыль!I27</f>
        <v>514.5</v>
      </c>
      <c r="K55" s="42"/>
      <c r="L55" s="42"/>
      <c r="M55" s="24">
        <v>1696.22</v>
      </c>
      <c r="N55" s="25">
        <f t="shared" si="2"/>
        <v>249.88509133765467</v>
      </c>
      <c r="O55" s="42"/>
      <c r="P55" s="24">
        <v>1764.07</v>
      </c>
      <c r="Q55" s="25">
        <f t="shared" si="3"/>
        <v>104.00007074554007</v>
      </c>
      <c r="R55" s="42"/>
      <c r="S55" s="24">
        <v>1854.04</v>
      </c>
      <c r="T55" s="25">
        <f t="shared" si="4"/>
        <v>105.10013774963578</v>
      </c>
      <c r="U55" s="42"/>
      <c r="V55" s="26">
        <f>[1]Прибыль!Z27+'[1]Смета комбин'!U51*0.91698-494.59-0.01-0.01</f>
        <v>499.98632427533579</v>
      </c>
      <c r="W55" s="20">
        <f t="shared" si="5"/>
        <v>73.657384247986997</v>
      </c>
      <c r="X55" s="43"/>
      <c r="Y55" s="24">
        <v>520</v>
      </c>
      <c r="Z55" s="20">
        <f t="shared" si="8"/>
        <v>104.00284462853486</v>
      </c>
      <c r="AA55" s="43"/>
      <c r="AB55" s="24">
        <f>Y55+AB56</f>
        <v>3863.4999454588906</v>
      </c>
      <c r="AC55" s="20">
        <f t="shared" si="12"/>
        <v>742.98075874209428</v>
      </c>
      <c r="AD55" s="21"/>
      <c r="AE55" s="21"/>
    </row>
    <row r="56" spans="4:31">
      <c r="E56" s="17" t="s">
        <v>107</v>
      </c>
      <c r="F56" s="77" t="s">
        <v>151</v>
      </c>
      <c r="G56" s="78"/>
      <c r="H56" s="78"/>
      <c r="I56" s="79"/>
      <c r="J56" s="79"/>
      <c r="K56" s="79"/>
      <c r="L56" s="79"/>
      <c r="M56" s="79"/>
      <c r="N56" s="80">
        <f t="shared" si="2"/>
        <v>0</v>
      </c>
      <c r="O56" s="79"/>
      <c r="P56" s="79"/>
      <c r="Q56" s="80">
        <f t="shared" si="3"/>
        <v>0</v>
      </c>
      <c r="R56" s="79"/>
      <c r="S56" s="79"/>
      <c r="T56" s="80">
        <f t="shared" si="4"/>
        <v>0</v>
      </c>
      <c r="U56" s="79"/>
      <c r="V56" s="79"/>
      <c r="W56" s="81">
        <f t="shared" si="5"/>
        <v>0</v>
      </c>
      <c r="X56" s="78"/>
      <c r="Y56" s="79"/>
      <c r="Z56" s="81">
        <f t="shared" si="8"/>
        <v>0</v>
      </c>
      <c r="AA56" s="78"/>
      <c r="AB56" s="64">
        <f>'Корректировка тарифа КОМБИ'!AB56*0.9</f>
        <v>3343.4999454588906</v>
      </c>
      <c r="AC56" s="81"/>
      <c r="AD56" s="44"/>
      <c r="AE56" s="44"/>
    </row>
    <row r="57" spans="4:31" hidden="1">
      <c r="E57" s="29"/>
      <c r="F57" s="45" t="s">
        <v>108</v>
      </c>
      <c r="G57" s="31"/>
      <c r="H57" s="31"/>
      <c r="I57" s="46"/>
      <c r="J57" s="46"/>
      <c r="K57" s="46"/>
      <c r="L57" s="46"/>
      <c r="M57" s="46"/>
      <c r="N57" s="25">
        <f t="shared" si="2"/>
        <v>0</v>
      </c>
      <c r="O57" s="46"/>
      <c r="P57" s="46"/>
      <c r="Q57" s="25">
        <f t="shared" si="3"/>
        <v>0</v>
      </c>
      <c r="R57" s="46"/>
      <c r="S57" s="46"/>
      <c r="T57" s="25">
        <f t="shared" si="4"/>
        <v>0</v>
      </c>
      <c r="U57" s="46"/>
      <c r="V57" s="46"/>
      <c r="W57" s="20">
        <f t="shared" si="5"/>
        <v>0</v>
      </c>
      <c r="X57" s="31"/>
      <c r="Y57" s="46"/>
      <c r="Z57" s="20">
        <f t="shared" si="8"/>
        <v>0</v>
      </c>
      <c r="AA57" s="31"/>
      <c r="AB57" s="46"/>
      <c r="AC57" s="20" t="e">
        <f t="shared" si="12"/>
        <v>#DIV/0!</v>
      </c>
      <c r="AD57" s="31"/>
      <c r="AE57" s="31"/>
    </row>
    <row r="58" spans="4:31" ht="25.5">
      <c r="D58" s="16" t="s">
        <v>23</v>
      </c>
      <c r="E58" s="17" t="s">
        <v>17</v>
      </c>
      <c r="F58" s="18" t="s">
        <v>109</v>
      </c>
      <c r="G58" s="23">
        <v>-3904.35</v>
      </c>
      <c r="H58" s="23">
        <v>0</v>
      </c>
      <c r="I58" s="24">
        <v>-3904.35</v>
      </c>
      <c r="J58" s="42">
        <f>'[1]Результаты деятельности'!J11</f>
        <v>0</v>
      </c>
      <c r="K58" s="24">
        <f>'[1]Результаты деятельности'!K11</f>
        <v>0</v>
      </c>
      <c r="L58" s="24">
        <v>0</v>
      </c>
      <c r="M58" s="24">
        <f>'[1]Результаты деятельности'!L11</f>
        <v>0</v>
      </c>
      <c r="N58" s="25">
        <f t="shared" si="2"/>
        <v>0</v>
      </c>
      <c r="O58" s="24">
        <f>'[1]Результаты деятельности'!M11</f>
        <v>0</v>
      </c>
      <c r="P58" s="24">
        <f>'[1]Результаты деятельности'!N11</f>
        <v>0</v>
      </c>
      <c r="Q58" s="25">
        <f t="shared" si="3"/>
        <v>0</v>
      </c>
      <c r="R58" s="24">
        <f>'[1]Результаты деятельности'!O11</f>
        <v>0</v>
      </c>
      <c r="S58" s="24">
        <f>'[1]Результаты деятельности'!P11</f>
        <v>0</v>
      </c>
      <c r="T58" s="25">
        <f t="shared" si="4"/>
        <v>0</v>
      </c>
      <c r="U58" s="24">
        <f>'[1]Результаты деятельности'!T11</f>
        <v>0</v>
      </c>
      <c r="V58" s="24">
        <f>'[1]Результаты деятельности'!R11</f>
        <v>0</v>
      </c>
      <c r="W58" s="20">
        <f t="shared" si="5"/>
        <v>0</v>
      </c>
      <c r="X58" s="23">
        <f>'[1]Результаты деятельности'!V11</f>
        <v>0</v>
      </c>
      <c r="Y58" s="24">
        <f>'[1]Результаты деятельности'!T11</f>
        <v>0</v>
      </c>
      <c r="Z58" s="20">
        <f t="shared" si="8"/>
        <v>0</v>
      </c>
      <c r="AA58" s="23">
        <f>'[1]Результаты деятельности'!X11</f>
        <v>0</v>
      </c>
      <c r="AB58" s="24">
        <f>'[1]Результаты деятельности'!V11</f>
        <v>0</v>
      </c>
      <c r="AC58" s="20"/>
      <c r="AD58" s="21"/>
      <c r="AE58" s="21"/>
    </row>
    <row r="59" spans="4:31" ht="39.75" customHeight="1">
      <c r="E59" s="17" t="s">
        <v>110</v>
      </c>
      <c r="F59" s="22" t="s">
        <v>111</v>
      </c>
      <c r="G59" s="23">
        <v>0</v>
      </c>
      <c r="H59" s="23">
        <v>0</v>
      </c>
      <c r="I59" s="24">
        <v>0</v>
      </c>
      <c r="J59" s="42">
        <f>'[1]Результаты деятельности'!J12</f>
        <v>0</v>
      </c>
      <c r="K59" s="24">
        <f>'[1]Результаты деятельности'!K12</f>
        <v>0</v>
      </c>
      <c r="L59" s="24">
        <v>0</v>
      </c>
      <c r="M59" s="24">
        <f>'[1]Результаты деятельности'!L12</f>
        <v>0</v>
      </c>
      <c r="N59" s="25">
        <f t="shared" si="2"/>
        <v>0</v>
      </c>
      <c r="O59" s="24">
        <f>'[1]Результаты деятельности'!M12</f>
        <v>0</v>
      </c>
      <c r="P59" s="24">
        <f>'[1]Результаты деятельности'!N12</f>
        <v>0</v>
      </c>
      <c r="Q59" s="25">
        <f t="shared" si="3"/>
        <v>0</v>
      </c>
      <c r="R59" s="24">
        <f>'[1]Результаты деятельности'!O12</f>
        <v>0</v>
      </c>
      <c r="S59" s="24">
        <f>'[1]Результаты деятельности'!P12</f>
        <v>0</v>
      </c>
      <c r="T59" s="25">
        <f t="shared" si="4"/>
        <v>0</v>
      </c>
      <c r="U59" s="24">
        <f>'[1]Результаты деятельности'!T12</f>
        <v>0</v>
      </c>
      <c r="V59" s="24">
        <f>'[1]Результаты деятельности'!R12</f>
        <v>0</v>
      </c>
      <c r="W59" s="20">
        <f t="shared" si="5"/>
        <v>0</v>
      </c>
      <c r="X59" s="23">
        <f>'[1]Результаты деятельности'!V12</f>
        <v>0</v>
      </c>
      <c r="Y59" s="24">
        <f>'[1]Результаты деятельности'!T12</f>
        <v>0</v>
      </c>
      <c r="Z59" s="20">
        <f t="shared" si="8"/>
        <v>0</v>
      </c>
      <c r="AA59" s="23">
        <f>'[1]Результаты деятельности'!X12</f>
        <v>0</v>
      </c>
      <c r="AB59" s="24">
        <f>'[1]Результаты деятельности'!V12</f>
        <v>0</v>
      </c>
      <c r="AC59" s="20"/>
      <c r="AD59" s="21"/>
      <c r="AE59" s="21"/>
    </row>
    <row r="60" spans="4:31" ht="39.75" customHeight="1">
      <c r="E60" s="17" t="s">
        <v>112</v>
      </c>
      <c r="F60" s="22" t="s">
        <v>113</v>
      </c>
      <c r="G60" s="23">
        <v>0</v>
      </c>
      <c r="H60" s="23">
        <v>0</v>
      </c>
      <c r="I60" s="24">
        <v>0</v>
      </c>
      <c r="J60" s="42">
        <f>'[1]Результаты деятельности'!J20</f>
        <v>0</v>
      </c>
      <c r="K60" s="24">
        <f>'[1]Результаты деятельности'!K20</f>
        <v>0</v>
      </c>
      <c r="L60" s="24">
        <v>0</v>
      </c>
      <c r="M60" s="24">
        <f>'[1]Результаты деятельности'!L20</f>
        <v>0</v>
      </c>
      <c r="N60" s="25">
        <f t="shared" si="2"/>
        <v>0</v>
      </c>
      <c r="O60" s="24">
        <f>'[1]Результаты деятельности'!M20</f>
        <v>0</v>
      </c>
      <c r="P60" s="24">
        <f>'[1]Результаты деятельности'!N20</f>
        <v>0</v>
      </c>
      <c r="Q60" s="25">
        <f t="shared" si="3"/>
        <v>0</v>
      </c>
      <c r="R60" s="24">
        <f>'[1]Результаты деятельности'!O20</f>
        <v>0</v>
      </c>
      <c r="S60" s="24">
        <f>'[1]Результаты деятельности'!P20</f>
        <v>0</v>
      </c>
      <c r="T60" s="25">
        <f t="shared" si="4"/>
        <v>0</v>
      </c>
      <c r="U60" s="24">
        <f>'[1]Результаты деятельности'!T20</f>
        <v>0</v>
      </c>
      <c r="V60" s="24">
        <f>'[1]Результаты деятельности'!R20</f>
        <v>0</v>
      </c>
      <c r="W60" s="20">
        <f t="shared" si="5"/>
        <v>0</v>
      </c>
      <c r="X60" s="23">
        <f>'[1]Результаты деятельности'!V20</f>
        <v>0</v>
      </c>
      <c r="Y60" s="24">
        <f>'[1]Результаты деятельности'!T20</f>
        <v>0</v>
      </c>
      <c r="Z60" s="20">
        <f t="shared" si="8"/>
        <v>0</v>
      </c>
      <c r="AA60" s="23">
        <f>'[1]Результаты деятельности'!X20</f>
        <v>0</v>
      </c>
      <c r="AB60" s="24">
        <f>'[1]Результаты деятельности'!V20</f>
        <v>0</v>
      </c>
      <c r="AC60" s="20"/>
      <c r="AD60" s="21"/>
      <c r="AE60" s="21"/>
    </row>
    <row r="61" spans="4:31" ht="39.75" customHeight="1">
      <c r="E61" s="17" t="s">
        <v>114</v>
      </c>
      <c r="F61" s="22" t="s">
        <v>115</v>
      </c>
      <c r="G61" s="23">
        <v>0</v>
      </c>
      <c r="H61" s="23">
        <v>0</v>
      </c>
      <c r="I61" s="24">
        <v>0</v>
      </c>
      <c r="J61" s="42">
        <f>'[1]Результаты деятельности'!J28</f>
        <v>0</v>
      </c>
      <c r="K61" s="24">
        <f>'[1]Результаты деятельности'!K28</f>
        <v>0</v>
      </c>
      <c r="L61" s="24">
        <v>0</v>
      </c>
      <c r="M61" s="24">
        <f>'[1]Результаты деятельности'!L28</f>
        <v>0</v>
      </c>
      <c r="N61" s="25">
        <f t="shared" si="2"/>
        <v>0</v>
      </c>
      <c r="O61" s="24">
        <f>'[1]Результаты деятельности'!M28</f>
        <v>0</v>
      </c>
      <c r="P61" s="24">
        <f>'[1]Результаты деятельности'!N28</f>
        <v>0</v>
      </c>
      <c r="Q61" s="25">
        <f t="shared" si="3"/>
        <v>0</v>
      </c>
      <c r="R61" s="24">
        <f>'[1]Результаты деятельности'!O28</f>
        <v>0</v>
      </c>
      <c r="S61" s="24">
        <f>'[1]Результаты деятельности'!P28</f>
        <v>0</v>
      </c>
      <c r="T61" s="25">
        <f t="shared" si="4"/>
        <v>0</v>
      </c>
      <c r="U61" s="24">
        <f>'[1]Результаты деятельности'!T28</f>
        <v>0</v>
      </c>
      <c r="V61" s="24">
        <f>'[1]Результаты деятельности'!R28</f>
        <v>0</v>
      </c>
      <c r="W61" s="20">
        <f t="shared" si="5"/>
        <v>0</v>
      </c>
      <c r="X61" s="23">
        <f>'[1]Результаты деятельности'!V28</f>
        <v>0</v>
      </c>
      <c r="Y61" s="24">
        <f>'[1]Результаты деятельности'!T28</f>
        <v>0</v>
      </c>
      <c r="Z61" s="20">
        <f t="shared" si="8"/>
        <v>0</v>
      </c>
      <c r="AA61" s="23">
        <f>'[1]Результаты деятельности'!X28</f>
        <v>0</v>
      </c>
      <c r="AB61" s="24">
        <f>'[1]Результаты деятельности'!V28</f>
        <v>0</v>
      </c>
      <c r="AC61" s="20"/>
      <c r="AD61" s="21"/>
      <c r="AE61" s="21"/>
    </row>
    <row r="62" spans="4:31" ht="30.75" customHeight="1">
      <c r="E62" s="17" t="s">
        <v>116</v>
      </c>
      <c r="F62" s="18" t="s">
        <v>117</v>
      </c>
      <c r="G62" s="43"/>
      <c r="H62" s="43"/>
      <c r="I62" s="42">
        <v>0</v>
      </c>
      <c r="J62" s="42"/>
      <c r="K62" s="42"/>
      <c r="L62" s="42">
        <v>0</v>
      </c>
      <c r="M62" s="42"/>
      <c r="N62" s="25">
        <f t="shared" si="2"/>
        <v>0</v>
      </c>
      <c r="O62" s="42"/>
      <c r="P62" s="42"/>
      <c r="Q62" s="25">
        <f t="shared" si="3"/>
        <v>0</v>
      </c>
      <c r="R62" s="42"/>
      <c r="S62" s="42"/>
      <c r="T62" s="25">
        <f t="shared" si="4"/>
        <v>0</v>
      </c>
      <c r="U62" s="42"/>
      <c r="V62" s="42">
        <v>0</v>
      </c>
      <c r="W62" s="20">
        <f t="shared" si="5"/>
        <v>0</v>
      </c>
      <c r="X62" s="43"/>
      <c r="Y62" s="42">
        <v>0</v>
      </c>
      <c r="Z62" s="20">
        <f t="shared" si="8"/>
        <v>0</v>
      </c>
      <c r="AA62" s="43"/>
      <c r="AB62" s="42">
        <v>0</v>
      </c>
      <c r="AC62" s="20"/>
      <c r="AD62" s="21"/>
      <c r="AE62" s="21"/>
    </row>
    <row r="63" spans="4:31" ht="33" customHeight="1">
      <c r="E63" s="17" t="s">
        <v>18</v>
      </c>
      <c r="F63" s="18" t="s">
        <v>118</v>
      </c>
      <c r="G63" s="43"/>
      <c r="H63" s="43"/>
      <c r="I63" s="42">
        <v>0</v>
      </c>
      <c r="J63" s="42"/>
      <c r="K63" s="42"/>
      <c r="L63" s="42">
        <v>0</v>
      </c>
      <c r="M63" s="42"/>
      <c r="N63" s="25">
        <f t="shared" si="2"/>
        <v>0</v>
      </c>
      <c r="O63" s="42"/>
      <c r="P63" s="42"/>
      <c r="Q63" s="25">
        <f t="shared" si="3"/>
        <v>0</v>
      </c>
      <c r="R63" s="42"/>
      <c r="S63" s="42"/>
      <c r="T63" s="25">
        <f t="shared" si="4"/>
        <v>0</v>
      </c>
      <c r="U63" s="42"/>
      <c r="V63" s="42">
        <v>0</v>
      </c>
      <c r="W63" s="20">
        <f t="shared" si="5"/>
        <v>0</v>
      </c>
      <c r="X63" s="43"/>
      <c r="Y63" s="42">
        <v>0</v>
      </c>
      <c r="Z63" s="20">
        <f t="shared" si="8"/>
        <v>0</v>
      </c>
      <c r="AA63" s="43"/>
      <c r="AB63" s="42">
        <v>0</v>
      </c>
      <c r="AC63" s="20"/>
      <c r="AD63" s="21"/>
      <c r="AE63" s="21"/>
    </row>
    <row r="64" spans="4:31" ht="25.5" customHeight="1">
      <c r="E64" s="17" t="s">
        <v>119</v>
      </c>
      <c r="F64" s="18" t="s">
        <v>120</v>
      </c>
      <c r="G64" s="43"/>
      <c r="H64" s="43"/>
      <c r="I64" s="42">
        <v>0</v>
      </c>
      <c r="J64" s="42"/>
      <c r="K64" s="42"/>
      <c r="L64" s="42">
        <v>0</v>
      </c>
      <c r="M64" s="42"/>
      <c r="N64" s="25">
        <f t="shared" si="2"/>
        <v>0</v>
      </c>
      <c r="O64" s="42"/>
      <c r="P64" s="42"/>
      <c r="Q64" s="25">
        <f t="shared" si="3"/>
        <v>0</v>
      </c>
      <c r="R64" s="42"/>
      <c r="S64" s="42"/>
      <c r="T64" s="25">
        <f t="shared" si="4"/>
        <v>0</v>
      </c>
      <c r="U64" s="42"/>
      <c r="V64" s="42">
        <v>0</v>
      </c>
      <c r="W64" s="20">
        <f t="shared" si="5"/>
        <v>0</v>
      </c>
      <c r="X64" s="43"/>
      <c r="Y64" s="42">
        <v>0</v>
      </c>
      <c r="Z64" s="20">
        <f t="shared" si="8"/>
        <v>0</v>
      </c>
      <c r="AA64" s="43"/>
      <c r="AB64" s="42">
        <v>0</v>
      </c>
      <c r="AC64" s="20"/>
      <c r="AD64" s="21"/>
      <c r="AE64" s="21"/>
    </row>
    <row r="65" spans="5:31" ht="40.5" customHeight="1">
      <c r="E65" s="17" t="s">
        <v>19</v>
      </c>
      <c r="F65" s="18" t="s">
        <v>146</v>
      </c>
      <c r="G65" s="43"/>
      <c r="H65" s="43"/>
      <c r="I65" s="42">
        <v>0</v>
      </c>
      <c r="J65" s="42"/>
      <c r="K65" s="42"/>
      <c r="L65" s="42">
        <v>0</v>
      </c>
      <c r="M65" s="42"/>
      <c r="N65" s="25">
        <f t="shared" si="2"/>
        <v>0</v>
      </c>
      <c r="O65" s="42"/>
      <c r="P65" s="42"/>
      <c r="Q65" s="25">
        <f t="shared" si="3"/>
        <v>0</v>
      </c>
      <c r="R65" s="42"/>
      <c r="S65" s="42"/>
      <c r="T65" s="25">
        <f t="shared" si="4"/>
        <v>0</v>
      </c>
      <c r="U65" s="42"/>
      <c r="V65" s="42">
        <v>0</v>
      </c>
      <c r="W65" s="20">
        <f t="shared" si="5"/>
        <v>0</v>
      </c>
      <c r="X65" s="43"/>
      <c r="Y65" s="42">
        <v>0</v>
      </c>
      <c r="Z65" s="20">
        <f t="shared" si="8"/>
        <v>0</v>
      </c>
      <c r="AA65" s="43"/>
      <c r="AB65" s="42">
        <v>0</v>
      </c>
      <c r="AC65" s="20"/>
      <c r="AD65" s="21"/>
      <c r="AE65" s="21"/>
    </row>
    <row r="66" spans="5:31">
      <c r="E66" s="17" t="s">
        <v>122</v>
      </c>
      <c r="F66" s="18" t="str">
        <f>"ИТОГО необходимая валовая выручка " &amp;IF(nds_val="является"," (без НДС)","")&amp;IF(nds_val="не является"," (c НДС)","")</f>
        <v>ИТОГО необходимая валовая выручка  (c НДС)</v>
      </c>
      <c r="G66" s="19">
        <f>G11+G30+G49+G55+G58</f>
        <v>77300.599999999991</v>
      </c>
      <c r="H66" s="19">
        <f>H11+H30+H49+H55+H58+SUM(H62:H65)</f>
        <v>88889.873999999996</v>
      </c>
      <c r="I66" s="19">
        <f>I11+I30+I49+I55+I58</f>
        <v>79529.240000000005</v>
      </c>
      <c r="J66" s="19">
        <f>J11+J30+J49+J55+J58</f>
        <v>27057.843100000002</v>
      </c>
      <c r="K66" s="19">
        <f>K11+K30+K49+K55+K58+SUM(K62:K65)</f>
        <v>5848</v>
      </c>
      <c r="L66" s="19">
        <f>L11+L30+L49+L55+L58</f>
        <v>82837.771999999997</v>
      </c>
      <c r="M66" s="59">
        <f>M11+M30+M49+M55+M58</f>
        <v>100039.75885980135</v>
      </c>
      <c r="N66" s="20">
        <f t="shared" si="2"/>
        <v>125.78990929600403</v>
      </c>
      <c r="O66" s="19">
        <f>O11+O30+O49+O55+O58+SUM(O62:O65)</f>
        <v>5848</v>
      </c>
      <c r="P66" s="19">
        <f>P11+P30+P49+P55+P58</f>
        <v>104312.75822695886</v>
      </c>
      <c r="Q66" s="20">
        <f t="shared" si="3"/>
        <v>104.27130114652297</v>
      </c>
      <c r="R66" s="19">
        <f>R11+R30+R49+R55+R58+SUM(R62:R65)</f>
        <v>5848</v>
      </c>
      <c r="S66" s="19">
        <f>S11+S30+S49+S55+S58</f>
        <v>109156.37456874679</v>
      </c>
      <c r="T66" s="20">
        <f t="shared" si="4"/>
        <v>104.643359474063</v>
      </c>
      <c r="U66" s="19">
        <f>U11+U30+U49+U55+U58+SUM(U62:U65)</f>
        <v>29503.183543790656</v>
      </c>
      <c r="V66" s="19">
        <f>V11+V30+V49+V55+V58</f>
        <v>84128.905405584126</v>
      </c>
      <c r="W66" s="20">
        <f t="shared" si="5"/>
        <v>105.78361544204888</v>
      </c>
      <c r="X66" s="19">
        <f>X11+X30+X49+X55+X58+SUM(X62:X65)</f>
        <v>30624.585903629162</v>
      </c>
      <c r="Y66" s="19">
        <f>Y11+Y30+Y49+Y55+Y58</f>
        <v>88699.379439614189</v>
      </c>
      <c r="Z66" s="20">
        <f t="shared" si="8"/>
        <v>105.43270355414217</v>
      </c>
      <c r="AA66" s="19">
        <f>AA11+AA30+AA49+AA55+AA58+SUM(AA62:AA65)</f>
        <v>0</v>
      </c>
      <c r="AB66" s="19">
        <f>AB11+AB30+AB49+AB55+AB58</f>
        <v>99520.195128678373</v>
      </c>
      <c r="AC66" s="20">
        <f t="shared" si="12"/>
        <v>112.19942659963129</v>
      </c>
      <c r="AD66" s="21"/>
      <c r="AE66" s="21"/>
    </row>
    <row r="67" spans="5:31">
      <c r="E67" s="17" t="s">
        <v>20</v>
      </c>
      <c r="F67" s="18" t="s">
        <v>123</v>
      </c>
      <c r="G67" s="43">
        <f>G66</f>
        <v>77300.599999999991</v>
      </c>
      <c r="H67" s="48"/>
      <c r="I67" s="43">
        <f>I66</f>
        <v>79529.240000000005</v>
      </c>
      <c r="J67" s="43"/>
      <c r="K67" s="48"/>
      <c r="L67" s="43">
        <v>72281.600000000006</v>
      </c>
      <c r="M67" s="43"/>
      <c r="N67" s="20">
        <f t="shared" si="2"/>
        <v>0</v>
      </c>
      <c r="O67" s="48"/>
      <c r="P67" s="43"/>
      <c r="Q67" s="20">
        <f t="shared" si="3"/>
        <v>0</v>
      </c>
      <c r="R67" s="48"/>
      <c r="S67" s="43"/>
      <c r="T67" s="20">
        <f t="shared" si="4"/>
        <v>0</v>
      </c>
      <c r="U67" s="48"/>
      <c r="V67" s="43">
        <f>V66</f>
        <v>84128.905405584126</v>
      </c>
      <c r="W67" s="20">
        <f t="shared" si="5"/>
        <v>105.78361544204888</v>
      </c>
      <c r="X67" s="48"/>
      <c r="Y67" s="43">
        <f>Y66</f>
        <v>88699.379439614189</v>
      </c>
      <c r="Z67" s="20">
        <f t="shared" si="8"/>
        <v>105.43270355414217</v>
      </c>
      <c r="AA67" s="48"/>
      <c r="AB67" s="43">
        <f>AB66</f>
        <v>99520.195128678373</v>
      </c>
      <c r="AC67" s="20">
        <f t="shared" si="12"/>
        <v>112.19942659963129</v>
      </c>
      <c r="AD67" s="21"/>
      <c r="AE67" s="21"/>
    </row>
    <row r="68" spans="5:31">
      <c r="E68" s="17" t="s">
        <v>124</v>
      </c>
      <c r="F68" s="18" t="s">
        <v>125</v>
      </c>
      <c r="G68" s="49">
        <v>53.763857999999999</v>
      </c>
      <c r="H68" s="49">
        <f>'[1]Таблица 4.1'!Y44</f>
        <v>59.65</v>
      </c>
      <c r="I68" s="49">
        <f>'[1]Таблица 4.1'!AI39</f>
        <v>54.17</v>
      </c>
      <c r="J68" s="49">
        <f>'[1]Таблица 4.1'!AS39</f>
        <v>57.330000000000005</v>
      </c>
      <c r="K68" s="43"/>
      <c r="L68" s="49">
        <v>49.249000000000002</v>
      </c>
      <c r="M68" s="49">
        <f>'[1]Таблица 4.1'!BC39</f>
        <v>59</v>
      </c>
      <c r="N68" s="20">
        <f t="shared" si="2"/>
        <v>108.91637437696143</v>
      </c>
      <c r="O68" s="43"/>
      <c r="P68" s="49">
        <f>'[1]Таблица 4.1'!BM39</f>
        <v>59</v>
      </c>
      <c r="Q68" s="20">
        <f t="shared" si="3"/>
        <v>100</v>
      </c>
      <c r="R68" s="43"/>
      <c r="S68" s="49">
        <f>'[1]Таблица 4.1'!BW39</f>
        <v>59</v>
      </c>
      <c r="T68" s="20">
        <f t="shared" si="4"/>
        <v>100</v>
      </c>
      <c r="U68" s="43"/>
      <c r="V68" s="49">
        <v>54.276699999999998</v>
      </c>
      <c r="W68" s="20">
        <f t="shared" si="5"/>
        <v>100.19697249400036</v>
      </c>
      <c r="X68" s="43"/>
      <c r="Y68" s="49">
        <v>54.276699999999998</v>
      </c>
      <c r="Z68" s="20">
        <f t="shared" si="8"/>
        <v>100</v>
      </c>
      <c r="AA68" s="43"/>
      <c r="AB68" s="49">
        <v>50.536000000000001</v>
      </c>
      <c r="AC68" s="20">
        <f t="shared" si="12"/>
        <v>93.108092422715458</v>
      </c>
      <c r="AD68" s="21"/>
      <c r="AE68" s="21"/>
    </row>
    <row r="69" spans="5:31">
      <c r="E69" s="17" t="s">
        <v>126</v>
      </c>
      <c r="F69" s="50" t="s">
        <v>127</v>
      </c>
      <c r="G69" s="49"/>
      <c r="H69" s="49">
        <f>'[1]Таблица 4.1'!W44</f>
        <v>33.33</v>
      </c>
      <c r="I69" s="49">
        <f>'[1]Таблица 4.1'!AG39</f>
        <v>34.019999999999996</v>
      </c>
      <c r="J69" s="49">
        <f>'[1]Таблица 4.1'!AQ39</f>
        <v>33.53</v>
      </c>
      <c r="K69" s="43"/>
      <c r="L69" s="49">
        <v>29.279</v>
      </c>
      <c r="M69" s="49">
        <f>'[1]Таблица 4.1'!BA39</f>
        <v>35.129999999999995</v>
      </c>
      <c r="N69" s="20">
        <f t="shared" si="2"/>
        <v>103.26278659611994</v>
      </c>
      <c r="O69" s="43"/>
      <c r="P69" s="49">
        <f>'[1]Таблица 4.1'!BK39</f>
        <v>35.129999999999995</v>
      </c>
      <c r="Q69" s="20">
        <f t="shared" si="3"/>
        <v>100</v>
      </c>
      <c r="R69" s="43"/>
      <c r="S69" s="49">
        <f>'[1]Таблица 4.1'!BU39</f>
        <v>35.129999999999995</v>
      </c>
      <c r="T69" s="20">
        <f t="shared" si="4"/>
        <v>100</v>
      </c>
      <c r="U69" s="43"/>
      <c r="V69" s="49">
        <v>31.786570000000001</v>
      </c>
      <c r="W69" s="20">
        <f t="shared" si="5"/>
        <v>93.434950029394486</v>
      </c>
      <c r="X69" s="43"/>
      <c r="Y69" s="49">
        <v>31.786570000000001</v>
      </c>
      <c r="Z69" s="20">
        <f t="shared" si="8"/>
        <v>100</v>
      </c>
      <c r="AA69" s="43"/>
      <c r="AB69" s="49">
        <v>29.475999999999999</v>
      </c>
      <c r="AC69" s="20">
        <f t="shared" si="12"/>
        <v>92.73098670287483</v>
      </c>
      <c r="AD69" s="21"/>
      <c r="AE69" s="21"/>
    </row>
    <row r="70" spans="5:31">
      <c r="E70" s="17" t="s">
        <v>128</v>
      </c>
      <c r="F70" s="50" t="s">
        <v>129</v>
      </c>
      <c r="G70" s="49"/>
      <c r="H70" s="49">
        <f>'[1]Таблица 4.1'!X44</f>
        <v>26.32</v>
      </c>
      <c r="I70" s="49">
        <f>'[1]Таблица 4.1'!AH39</f>
        <v>20.149999999999999</v>
      </c>
      <c r="J70" s="49">
        <f>'[1]Таблица 4.1'!AR39</f>
        <v>23.8</v>
      </c>
      <c r="K70" s="43"/>
      <c r="L70" s="49">
        <v>19.97</v>
      </c>
      <c r="M70" s="49">
        <f>'[1]Таблица 4.1'!BB39</f>
        <v>23.87</v>
      </c>
      <c r="N70" s="20">
        <f t="shared" si="2"/>
        <v>118.46153846153848</v>
      </c>
      <c r="O70" s="43"/>
      <c r="P70" s="49">
        <f>'[1]Таблица 4.1'!BL39</f>
        <v>23.87</v>
      </c>
      <c r="Q70" s="20">
        <f t="shared" si="3"/>
        <v>100</v>
      </c>
      <c r="R70" s="43"/>
      <c r="S70" s="49">
        <f>'[1]Таблица 4.1'!BV39</f>
        <v>23.87</v>
      </c>
      <c r="T70" s="20">
        <f t="shared" si="4"/>
        <v>100</v>
      </c>
      <c r="U70" s="43"/>
      <c r="V70" s="49">
        <f>V68-V69</f>
        <v>22.490129999999997</v>
      </c>
      <c r="W70" s="20">
        <f t="shared" si="5"/>
        <v>111.61354838709676</v>
      </c>
      <c r="X70" s="43"/>
      <c r="Y70" s="49">
        <f>Y68-Y69</f>
        <v>22.490129999999997</v>
      </c>
      <c r="Z70" s="20">
        <f t="shared" si="8"/>
        <v>100</v>
      </c>
      <c r="AA70" s="43"/>
      <c r="AB70" s="49">
        <f>AB68-AB69</f>
        <v>21.060000000000002</v>
      </c>
      <c r="AC70" s="20">
        <f t="shared" si="12"/>
        <v>93.641077219206849</v>
      </c>
      <c r="AD70" s="21"/>
      <c r="AE70" s="21"/>
    </row>
    <row r="71" spans="5:31">
      <c r="E71" s="17" t="s">
        <v>21</v>
      </c>
      <c r="F71" s="18" t="s">
        <v>130</v>
      </c>
      <c r="G71" s="49">
        <f>IF(G68=0,0,ROUND(G66/G68,2))</f>
        <v>1437.78</v>
      </c>
      <c r="H71" s="49">
        <f t="shared" ref="H71:S71" si="15">IF(H68=0,0,ROUND(H66/H68,2))</f>
        <v>1490.19</v>
      </c>
      <c r="I71" s="61">
        <f t="shared" si="15"/>
        <v>1468.14</v>
      </c>
      <c r="J71" s="61">
        <f t="shared" si="15"/>
        <v>471.97</v>
      </c>
      <c r="K71" s="61">
        <f t="shared" si="15"/>
        <v>0</v>
      </c>
      <c r="L71" s="61">
        <v>1468.14</v>
      </c>
      <c r="M71" s="61">
        <f t="shared" si="15"/>
        <v>1695.59</v>
      </c>
      <c r="N71" s="62">
        <f t="shared" si="2"/>
        <v>115.49239173375834</v>
      </c>
      <c r="O71" s="61">
        <f t="shared" si="15"/>
        <v>0</v>
      </c>
      <c r="P71" s="61">
        <f t="shared" si="15"/>
        <v>1768.01</v>
      </c>
      <c r="Q71" s="62">
        <f t="shared" si="3"/>
        <v>104.27107968317813</v>
      </c>
      <c r="R71" s="61">
        <f t="shared" si="15"/>
        <v>0</v>
      </c>
      <c r="S71" s="61">
        <f t="shared" si="15"/>
        <v>1850.11</v>
      </c>
      <c r="T71" s="62">
        <f t="shared" si="4"/>
        <v>104.64363889344517</v>
      </c>
      <c r="U71" s="61">
        <f>IF(U68=0,0,ROUND(U66/U68,2))</f>
        <v>0</v>
      </c>
      <c r="V71" s="61">
        <f>IF(V68=0,0,ROUND(V66/V68,2))</f>
        <v>1550</v>
      </c>
      <c r="W71" s="20">
        <f t="shared" si="5"/>
        <v>105.57576252945904</v>
      </c>
      <c r="X71" s="43">
        <f>IF(X68=0,0,ROUND(X66/X68,2))</f>
        <v>0</v>
      </c>
      <c r="Y71" s="61">
        <f>IF(Y68=0,0,ROUND(Y66/Y68,2))</f>
        <v>1634.21</v>
      </c>
      <c r="Z71" s="20">
        <f>IF(V71=0,0,Y71/V71*100)</f>
        <v>105.43290322580646</v>
      </c>
      <c r="AA71" s="43">
        <f>IF(AA68=0,0,ROUND(AA66/AA68,2))</f>
        <v>0</v>
      </c>
      <c r="AB71" s="61">
        <f>IF(AB68=0,0,ROUND(AB66/AB68,2))</f>
        <v>1969.29</v>
      </c>
      <c r="AC71" s="20">
        <f>AB71/V71*100</f>
        <v>127.05096774193547</v>
      </c>
      <c r="AD71" s="21"/>
      <c r="AE71" s="21"/>
    </row>
    <row r="72" spans="5:31">
      <c r="E72" s="17" t="s">
        <v>131</v>
      </c>
      <c r="F72" s="22" t="s">
        <v>127</v>
      </c>
      <c r="G72" s="48"/>
      <c r="H72" s="48"/>
      <c r="I72" s="61">
        <v>1437.78</v>
      </c>
      <c r="J72" s="61"/>
      <c r="K72" s="63"/>
      <c r="L72" s="61">
        <v>1437.78</v>
      </c>
      <c r="M72" s="63">
        <f>I73</f>
        <v>1511.51</v>
      </c>
      <c r="N72" s="62">
        <f>IF(I73=0,0,M72/I73*100)</f>
        <v>100</v>
      </c>
      <c r="O72" s="63"/>
      <c r="P72" s="63">
        <f>M73</f>
        <v>1966.5024113867348</v>
      </c>
      <c r="Q72" s="62">
        <f>IF(M73=0,0,P72/M73*100)</f>
        <v>100</v>
      </c>
      <c r="R72" s="63"/>
      <c r="S72" s="63">
        <f>P73</f>
        <v>1475.8914333867986</v>
      </c>
      <c r="T72" s="62">
        <f>IF(P73=0,0,S72/P73*100)</f>
        <v>100</v>
      </c>
      <c r="U72" s="63"/>
      <c r="V72" s="61">
        <f>I73</f>
        <v>1511.51</v>
      </c>
      <c r="W72" s="20">
        <f>IF(S73=0,0,V72/S73*100)</f>
        <v>62.957265073124134</v>
      </c>
      <c r="X72" s="48"/>
      <c r="Y72" s="61">
        <f>V73</f>
        <v>1604.4109965653436</v>
      </c>
      <c r="Z72" s="20">
        <f>IF(V73=0,0,Y72/V73*100)</f>
        <v>100</v>
      </c>
      <c r="AA72" s="48"/>
      <c r="AB72" s="61">
        <f>V73</f>
        <v>1604.4109965653436</v>
      </c>
      <c r="AC72" s="20">
        <f>AB72/V73*100</f>
        <v>100</v>
      </c>
      <c r="AD72" s="21"/>
      <c r="AE72" s="21"/>
    </row>
    <row r="73" spans="5:31">
      <c r="E73" s="17" t="s">
        <v>132</v>
      </c>
      <c r="F73" s="22" t="s">
        <v>129</v>
      </c>
      <c r="G73" s="48"/>
      <c r="H73" s="48"/>
      <c r="I73" s="61">
        <v>1511.51</v>
      </c>
      <c r="J73" s="61"/>
      <c r="K73" s="63"/>
      <c r="L73" s="61">
        <v>1511.51</v>
      </c>
      <c r="M73" s="63">
        <f>IF('[1]Таблица 4.1'!BB39=0,0,('Корректировка тарифа конечным'!M66-'Корректировка тарифа конечным'!M72*'[1]Таблица 4.1'!BA39)/'[1]Таблица 4.1'!BB39)</f>
        <v>1966.5024113867348</v>
      </c>
      <c r="N73" s="62">
        <f>IF(M72=0,0,M73/M72*100)</f>
        <v>130.10184592802793</v>
      </c>
      <c r="O73" s="63"/>
      <c r="P73" s="63">
        <f>IF('[1]Таблица 4.1'!BL39=0,0,('Корректировка тарифа конечным'!P66-'Корректировка тарифа конечным'!P72*'[1]Таблица 4.1'!BK39)/'[1]Таблица 4.1'!BL39)</f>
        <v>1475.8914333867986</v>
      </c>
      <c r="Q73" s="62">
        <f>IF(P72=0,0,P73/P72*100)</f>
        <v>75.051595403131586</v>
      </c>
      <c r="R73" s="63"/>
      <c r="S73" s="63">
        <f>IF('[1]Таблица 4.1'!BV39=0,0,('Корректировка тарифа конечным'!S66-'Корректировка тарифа конечным'!S72*'[1]Таблица 4.1'!BU39)/'[1]Таблица 4.1'!BV39)</f>
        <v>2400.8507965592194</v>
      </c>
      <c r="T73" s="62">
        <f>IF(S72=0,0,S73/S72*100)</f>
        <v>162.67123327966425</v>
      </c>
      <c r="U73" s="63"/>
      <c r="V73" s="61">
        <f>IF('[1]Таблица 4.1'!CF39=0,0,('Корректировка тарифа конечным'!V66-'Корректировка тарифа конечным'!V72*V69)/V70)+0.01</f>
        <v>1604.4109965653436</v>
      </c>
      <c r="W73" s="20">
        <f>IF(V72=0,0,V73/V72*100)</f>
        <v>106.14623764085871</v>
      </c>
      <c r="X73" s="48"/>
      <c r="Y73" s="61">
        <f>IF('[1]Таблица 4.1'!CP39=0,0,('Корректировка тарифа конечным'!Y66-'Корректировка тарифа конечным'!Y72*Y69)/Y70)</f>
        <v>1676.3201007962221</v>
      </c>
      <c r="Z73" s="20">
        <f>IF(Y72=0,0,Y73/Y72*100)</f>
        <v>104.48196281282156</v>
      </c>
      <c r="AA73" s="48"/>
      <c r="AB73" s="61">
        <f>(AB66-(AB69*AB72))/AB70</f>
        <v>2479.9893919239462</v>
      </c>
      <c r="AC73" s="20">
        <f>AB73/AB72*100</f>
        <v>154.57319834088673</v>
      </c>
      <c r="AD73" s="21"/>
      <c r="AE73" s="21"/>
    </row>
    <row r="74" spans="5:31" s="65" customFormat="1">
      <c r="E74" s="66"/>
      <c r="F74" s="67"/>
      <c r="G74" s="68"/>
      <c r="H74" s="68"/>
      <c r="I74" s="69"/>
      <c r="J74" s="69"/>
      <c r="K74" s="68"/>
      <c r="L74" s="69"/>
      <c r="M74" s="68"/>
      <c r="N74" s="70"/>
      <c r="O74" s="68"/>
      <c r="P74" s="68"/>
      <c r="Q74" s="70"/>
      <c r="R74" s="68"/>
      <c r="S74" s="68"/>
      <c r="T74" s="70"/>
      <c r="U74" s="68"/>
      <c r="V74" s="69"/>
      <c r="W74" s="70"/>
      <c r="X74" s="68"/>
      <c r="Y74" s="69"/>
      <c r="Z74" s="70"/>
      <c r="AA74" s="68"/>
      <c r="AB74" s="69"/>
      <c r="AC74" s="70"/>
      <c r="AD74" s="71"/>
      <c r="AE74" s="71"/>
    </row>
    <row r="75" spans="5:31" ht="16.5" customHeight="1">
      <c r="E75" s="51"/>
      <c r="F75" s="51" t="s">
        <v>133</v>
      </c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3"/>
      <c r="W75" s="51"/>
      <c r="X75" s="51"/>
      <c r="Y75" s="51" t="s">
        <v>134</v>
      </c>
      <c r="Z75" s="51"/>
      <c r="AA75" s="51"/>
      <c r="AB75" s="51"/>
      <c r="AC75" s="51"/>
    </row>
    <row r="76" spans="5:31"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</row>
    <row r="77" spans="5:31"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</row>
    <row r="78" spans="5:31"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</row>
    <row r="79" spans="5:31"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</row>
    <row r="80" spans="5:31">
      <c r="E80" s="51"/>
      <c r="F80" s="51"/>
      <c r="G80" s="51"/>
      <c r="H80" s="51"/>
      <c r="I80" s="54"/>
      <c r="J80" s="54"/>
      <c r="K80" s="54"/>
      <c r="L80" s="54"/>
      <c r="M80" s="54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</row>
    <row r="81" spans="5:29">
      <c r="E81" s="51"/>
      <c r="F81" s="51"/>
      <c r="G81" s="51"/>
      <c r="H81" s="51"/>
      <c r="I81" s="55"/>
      <c r="J81" s="54"/>
      <c r="K81" s="54"/>
      <c r="L81" s="54"/>
      <c r="M81" s="55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</row>
    <row r="82" spans="5:29"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</row>
    <row r="83" spans="5:29"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</row>
    <row r="84" spans="5:29">
      <c r="E84" s="4"/>
    </row>
    <row r="85" spans="5:29">
      <c r="E85" s="4"/>
    </row>
    <row r="86" spans="5:29">
      <c r="E86" s="4"/>
    </row>
    <row r="87" spans="5:29"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</row>
    <row r="88" spans="5:29">
      <c r="E88" s="1"/>
    </row>
    <row r="89" spans="5:29">
      <c r="E89" s="1"/>
    </row>
    <row r="90" spans="5:29">
      <c r="E90" s="56"/>
      <c r="F90" s="56"/>
      <c r="G90" s="57"/>
    </row>
  </sheetData>
  <mergeCells count="20">
    <mergeCell ref="K8:K9"/>
    <mergeCell ref="L8:L9"/>
    <mergeCell ref="E5:Z5"/>
    <mergeCell ref="F6:Z6"/>
    <mergeCell ref="AA8:AC8"/>
    <mergeCell ref="AD8:AD9"/>
    <mergeCell ref="AE8:AE9"/>
    <mergeCell ref="E77:N77"/>
    <mergeCell ref="M8:M9"/>
    <mergeCell ref="N8:N9"/>
    <mergeCell ref="O8:Q8"/>
    <mergeCell ref="R8:T8"/>
    <mergeCell ref="U8:W8"/>
    <mergeCell ref="Y8:Z8"/>
    <mergeCell ref="E8:E9"/>
    <mergeCell ref="F8:F9"/>
    <mergeCell ref="G8:G9"/>
    <mergeCell ref="H8:H9"/>
    <mergeCell ref="I8:I9"/>
    <mergeCell ref="J8:J9"/>
  </mergeCells>
  <dataValidations count="3">
    <dataValidation type="decimal" allowBlank="1" showErrorMessage="1" errorTitle="Ошибка" error="Допускается ввод только действительных чисел!" sqref="S67 R55 U62:V65 U71:V74 Y67:Y74 AA62:AB65 X62:Y65 U68:U70 X55 U55 V67:V70 AA55 O68:P74 H68:K70 G62:M65 R68:S74 P67 R62:S65 O62:P65 K55:L55 G67:G70 O55 AB67:AB74 J58:J61 G55 J49:J54 I67:J67 L67:M70 X68:X74 AA68:AA74 G71:M71 I72:M7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AD58:AE74 AD11:AE27 AD30:AE55">
      <formula1>900</formula1>
    </dataValidation>
    <dataValidation allowBlank="1" showInputMessage="1" showErrorMessage="1" prompt="скрыть/отобразить детали" sqref="D11 D49 D58 D30"/>
  </dataValidations>
  <pageMargins left="0.47244094488188981" right="0" top="0" bottom="3.937007874015748E-2" header="0.31496062992125984" footer="0.27559055118110237"/>
  <pageSetup paperSize="9"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Корректировка тарифа КОМБИ</vt:lpstr>
      <vt:lpstr>Корректировка тарифа конечным</vt:lpstr>
      <vt:lpstr>Лист2</vt:lpstr>
      <vt:lpstr>'Корректировка тарифа КОМБИ'!Заголовки_для_печати</vt:lpstr>
      <vt:lpstr>'Корректировка тарифа конечным'!Заголовки_для_печати</vt:lpstr>
      <vt:lpstr>'Корректировка тарифа КОМБИ'!Область_печати</vt:lpstr>
      <vt:lpstr>'Корректировка тарифа конечным'!Область_печати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Кононова Любовь Игоревна</dc:creator>
  <cp:lastModifiedBy>Кононова Любовь Игоревна</cp:lastModifiedBy>
  <cp:lastPrinted>2016-04-20T05:14:27Z</cp:lastPrinted>
  <dcterms:created xsi:type="dcterms:W3CDTF">2016-04-12T07:23:31Z</dcterms:created>
  <dcterms:modified xsi:type="dcterms:W3CDTF">2016-04-20T05:15:56Z</dcterms:modified>
</cp:coreProperties>
</file>