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custom.xml" ContentType="application/vnd.openxmlformats-officedocument.custom-properties+xml"/>
  <Override PartName="/xl/persons/person.xml" ContentType="application/vnd.ms-excel.person+xml"/>
  <Override PartName="/xl/worksheets/sheet2.xml" ContentType="application/vnd.openxmlformats-officedocument.spreadsheetml.worksheet+xml"/>
  <Override PartName="/xl/worksheets/sheet29.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sheets/sheet72.xml" ContentType="application/vnd.openxmlformats-officedocument.spreadsheetml.worksheet+xml"/>
  <Override PartName="/xl/worksheets/sheet6.xml" ContentType="application/vnd.openxmlformats-officedocument.spreadsheetml.worksheet+xml"/>
  <Override PartName="/xl/worksheets/sheet36.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worksheets/sheet52.xml" ContentType="application/vnd.openxmlformats-officedocument.spreadsheetml.worksheet+xml"/>
  <Override PartName="/xl/worksheets/sheet85.xml" ContentType="application/vnd.openxmlformats-officedocument.spreadsheetml.worksheet+xml"/>
  <Override PartName="/xl/worksheets/sheet17.xml" ContentType="application/vnd.openxmlformats-officedocument.spreadsheetml.worksheet+xml"/>
  <Override PartName="/docProps/app.xml" ContentType="application/vnd.openxmlformats-officedocument.extended-properties+xml"/>
  <Override PartName="/xl/worksheets/sheet16.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threadedComments/threadedComment1.xml" ContentType="application/vnd.ms-excel.threadedcomments+xml"/>
  <Override PartName="/xl/worksheets/sheet23.xml" ContentType="application/vnd.openxmlformats-officedocument.spreadsheetml.worksheet+xml"/>
  <Override PartName="/xl/worksheets/sheet75.xml" ContentType="application/vnd.openxmlformats-officedocument.spreadsheetml.worksheet+xml"/>
  <Override PartName="/xl/worksheets/sheet60.xml" ContentType="application/vnd.openxmlformats-officedocument.spreadsheetml.worksheet+xml"/>
  <Override PartName="/xl/worksheets/sheet51.xml" ContentType="application/vnd.openxmlformats-officedocument.spreadsheetml.worksheet+xml"/>
  <Override PartName="/xl/worksheets/sheet22.xml" ContentType="application/vnd.openxmlformats-officedocument.spreadsheetml.worksheet+xml"/>
  <Override PartName="/xl/worksheets/sheet26.xml" ContentType="application/vnd.openxmlformats-officedocument.spreadsheetml.worksheet+xml"/>
  <Override PartName="/xl/worksheets/sheet28.xml" ContentType="application/vnd.openxmlformats-officedocument.spreadsheetml.worksheet+xml"/>
  <Override PartName="/xl/worksheets/sheet32.xml" ContentType="application/vnd.openxmlformats-officedocument.spreadsheetml.worksheet+xml"/>
  <Override PartName="/xl/worksheets/sheet40.xml" ContentType="application/vnd.openxmlformats-officedocument.spreadsheetml.worksheet+xml"/>
  <Override PartName="/xl/worksheets/sheet20.xml" ContentType="application/vnd.openxmlformats-officedocument.spreadsheetml.worksheet+xml"/>
  <Override PartName="/xl/worksheets/sheet53.xml" ContentType="application/vnd.openxmlformats-officedocument.spreadsheetml.worksheet+xml"/>
  <Override PartName="/xl/worksheets/sheet12.xml" ContentType="application/vnd.openxmlformats-officedocument.spreadsheetml.worksheet+xml"/>
  <Override PartName="/xl/worksheets/sheet78.xml" ContentType="application/vnd.openxmlformats-officedocument.spreadsheetml.worksheet+xml"/>
  <Override PartName="/xl/threadedComments/threadedComment3.xml" ContentType="application/vnd.ms-excel.threadedcomments+xml"/>
  <Override PartName="/xl/worksheets/sheet39.xml" ContentType="application/vnd.openxmlformats-officedocument.spreadsheetml.worksheet+xml"/>
  <Override PartName="/docProps/core.xml" ContentType="application/vnd.openxmlformats-package.core-properties+xml"/>
  <Override PartName="/xl/styles.xml" ContentType="application/vnd.openxmlformats-officedocument.spreadsheetml.styles+xml"/>
  <Override PartName="/xl/worksheets/sheet73.xml" ContentType="application/vnd.openxmlformats-officedocument.spreadsheetml.worksheet+xml"/>
  <Override PartName="/xl/worksheets/sheet43.xml" ContentType="application/vnd.openxmlformats-officedocument.spreadsheetml.worksheet+xml"/>
  <Override PartName="/xl/worksheets/sheet49.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77.xml" ContentType="application/vnd.openxmlformats-officedocument.spreadsheetml.worksheet+xml"/>
  <Override PartName="/xl/worksheets/sheet21.xml" ContentType="application/vnd.openxmlformats-officedocument.spreadsheetml.worksheet+xml"/>
  <Override PartName="/xl/worksheets/sheet24.xml" ContentType="application/vnd.openxmlformats-officedocument.spreadsheetml.worksheet+xml"/>
  <Override PartName="/xl/worksheets/sheet61.xml" ContentType="application/vnd.openxmlformats-officedocument.spreadsheetml.worksheet+xml"/>
  <Override PartName="/xl/worksheets/sheet37.xml" ContentType="application/vnd.openxmlformats-officedocument.spreadsheetml.worksheet+xml"/>
  <Override PartName="/xl/worksheets/sheet34.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25.xml" ContentType="application/vnd.openxmlformats-officedocument.spreadsheetml.worksheet+xml"/>
  <Override PartName="/xl/threadedComments/threadedComment2.xml" ContentType="application/vnd.ms-excel.threadedcomments+xml"/>
  <Override PartName="/xl/worksheets/sheet55.xml" ContentType="application/vnd.openxmlformats-officedocument.spreadsheetml.worksheet+xml"/>
  <Override PartName="/xl/worksheets/sheet42.xml" ContentType="application/vnd.openxmlformats-officedocument.spreadsheetml.worksheet+xml"/>
  <Override PartName="/xl/worksheets/sheet62.xml" ContentType="application/vnd.openxmlformats-officedocument.spreadsheetml.worksheet+xml"/>
  <Override PartName="/xl/worksheets/sheet1.xml" ContentType="application/vnd.openxmlformats-officedocument.spreadsheetml.worksheet+xml"/>
  <Override PartName="/xl/worksheets/sheet63.xml" ContentType="application/vnd.openxmlformats-officedocument.spreadsheetml.worksheet+xml"/>
  <Override PartName="/xl/worksheets/sheet82.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9.xml" ContentType="application/vnd.openxmlformats-officedocument.spreadsheetml.worksheet+xml"/>
  <Override PartName="/xl/worksheets/sheet59.xml" ContentType="application/vnd.openxmlformats-officedocument.spreadsheetml.worksheet+xml"/>
  <Override PartName="/xl/worksheets/sheet66.xml" ContentType="application/vnd.openxmlformats-officedocument.spreadsheetml.worksheet+xml"/>
  <Override PartName="/xl/worksheets/sheet70.xml" ContentType="application/vnd.openxmlformats-officedocument.spreadsheetml.worksheet+xml"/>
  <Override PartName="/xl/worksheets/sheet76.xml" ContentType="application/vnd.openxmlformats-officedocument.spreadsheetml.worksheet+xml"/>
  <Override PartName="/xl/worksheets/sheet44.xml" ContentType="application/vnd.openxmlformats-officedocument.spreadsheetml.worksheet+xml"/>
  <Override PartName="/xl/worksheets/sheet33.xml" ContentType="application/vnd.openxmlformats-officedocument.spreadsheetml.worksheet+xml"/>
  <Override PartName="/xl/comments2.xml" ContentType="application/vnd.openxmlformats-officedocument.spreadsheetml.comments+xml"/>
  <Override PartName="/xl/worksheets/sheet57.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84.xml" ContentType="application/vnd.openxmlformats-officedocument.spreadsheetml.worksheet+xml"/>
  <Override PartName="/xl/comments1.xml" ContentType="application/vnd.openxmlformats-officedocument.spreadsheetml.comments+xml"/>
  <Override PartName="/xl/worksheets/sheet54.xml" ContentType="application/vnd.openxmlformats-officedocument.spreadsheetml.worksheet+xml"/>
  <Override PartName="/xl/worksheets/sheet15.xml" ContentType="application/vnd.openxmlformats-officedocument.spreadsheetml.worksheet+xml"/>
  <Override PartName="/xl/worksheets/sheet81.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35.xml" ContentType="application/vnd.openxmlformats-officedocument.spreadsheetml.worksheet+xml"/>
  <Override PartName="/xl/worksheets/sheet31.xml" ContentType="application/vnd.openxmlformats-officedocument.spreadsheetml.worksheet+xml"/>
  <Override PartName="/xl/worksheets/sheet27.xml" ContentType="application/vnd.openxmlformats-officedocument.spreadsheetml.worksheet+xml"/>
  <Override PartName="/xl/worksheets/sheet86.xml" ContentType="application/vnd.openxmlformats-officedocument.spreadsheetml.worksheet+xml"/>
  <Override PartName="/xl/worksheets/sheet74.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worksheets/sheet69.xml" ContentType="application/vnd.openxmlformats-officedocument.spreadsheetml.worksheet+xml"/>
  <Override PartName="/xl/worksheets/sheet48.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71.xml" ContentType="application/vnd.openxmlformats-officedocument.spreadsheetml.worksheet+xml"/>
  <Override PartName="/xl/worksheets/sheet47.xml" ContentType="application/vnd.openxmlformats-officedocument.spreadsheetml.worksheet+xml"/>
  <Override PartName="/xl/comments3.xml" ContentType="application/vnd.openxmlformats-officedocument.spreadsheetml.comments+xml"/>
  <Override PartName="/xl/worksheets/sheet65.xml" ContentType="application/vnd.openxmlformats-officedocument.spreadsheetml.worksheet+xml"/>
  <Override PartName="/xl/worksheets/sheet30.xml" ContentType="application/vnd.openxmlformats-officedocument.spreadsheetml.worksheet+xml"/>
  <Override PartName="/xl/worksheets/sheet83.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39"/>
  </bookViews>
  <sheets>
    <sheet name="Инструкция" sheetId="1" state="visible" r:id="rId2"/>
    <sheet name="Титульный" sheetId="2" state="visible" r:id="rId3"/>
    <sheet name="Список территорий" sheetId="3" state="visible" r:id="rId4"/>
    <sheet name="Дифференциация" sheetId="4" state="visible"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visible"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visible"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visible"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state="visible"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территорий'!$G$13:$I$14</definedName>
    <definedName name="DESCRIPTION_TERRITORY">REESTR_DS!$B$2</definedName>
    <definedName name="_xlnm._FilterDatabase" localSheetId="52" hidden="1">'Проверка'!$B$4:$D$4</definedName>
  </definedNames>
  <calcPr iterate="0" iterateCount="100" iterateDelta="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tc={00FE004C-005D-4A12-9368-007F00440087}</author>
    <author>tc={006A0031-00E3-4DAD-A8C7-0004007D00D2}</author>
  </authors>
  <commentList>
    <comment ref="F31" authorId="0" xr:uid="{00FE004C-005D-4A12-9368-007F00440087}">
      <text>
        <r>
          <rPr>
            <b/>
            <sz val="9"/>
            <rFont val="Tahoma"/>
          </rPr>
          <t>Author:</t>
        </r>
        <r>
          <rPr>
            <sz val="9"/>
            <rFont val="Tahoma"/>
          </rPr>
          <t xml:space="preserve">
Выбор организации двойным щелчком левой клавиши мыши
</t>
        </r>
      </text>
    </comment>
    <comment ref="E37" authorId="1" xr:uid="{006A0031-00E3-4DAD-A8C7-0004007D00D2}">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tc={0030002C-00C1-4744-94E5-0026000000DB}</author>
    <author>tc={005600A6-0008-4432-BD87-00920009009E}</author>
  </authors>
  <commentList>
    <comment ref="AZ1" authorId="0" xr:uid="{0030002C-00C1-4744-94E5-0026000000DB}">
      <text>
        <r>
          <rPr>
            <b/>
            <sz val="9"/>
            <rFont val="Tahoma"/>
          </rPr>
          <t>Author:</t>
        </r>
        <r>
          <rPr>
            <sz val="9"/>
            <rFont val="Tahoma"/>
          </rPr>
          <t xml:space="preserve">
Тип организации
</t>
        </r>
      </text>
    </comment>
    <comment ref="L6" authorId="1" xr:uid="{005600A6-0008-4432-BD87-00920009009E}">
      <text>
        <r>
          <rPr>
            <b/>
            <sz val="9"/>
            <rFont val="Tahoma"/>
          </rPr>
          <t>Author:</t>
        </r>
        <r>
          <rPr>
            <sz val="9"/>
            <rFont val="Tahoma"/>
          </rPr>
          <t xml:space="preserve">
тут будет больше 0, если выбран хотя бы один метод, отличный от экономически обоснованных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tc={0082005E-00D0-4E6D-8F57-002B000C00EF}</author>
    <author>tc={009D00AE-0018-4A43-A35D-00C800CD0087}</author>
  </authors>
  <commentList>
    <comment ref="P2" authorId="0" xr:uid="{0082005E-00D0-4E6D-8F57-002B000C00EF}">
      <text>
        <r>
          <rPr>
            <b/>
            <sz val="9"/>
            <rFont val="Tahoma"/>
          </rPr>
          <t>Author:</t>
        </r>
        <r>
          <rPr>
            <sz val="9"/>
            <rFont val="Tahoma"/>
          </rPr>
          <t xml:space="preserve">
сюда же для некоторых формул может входить:
- VOTV
- HOTVSNA
</t>
        </r>
      </text>
    </comment>
    <comment ref="U2" authorId="1" xr:uid="{009D00AE-0018-4A43-A35D-00C800CD0087}">
      <text>
        <r>
          <rPr>
            <b/>
            <sz val="9"/>
            <rFont val="Tahoma"/>
          </rPr>
          <t>Author:</t>
        </r>
        <r>
          <rPr>
            <sz val="9"/>
            <rFont val="Tahoma"/>
          </rPr>
          <t xml:space="preserve">
сюда же для некоторых формул может входить:
- VOTV
- HOTVSNA
</t>
        </r>
      </text>
    </comment>
  </commentList>
</comments>
</file>

<file path=xl/sharedStrings.xml><?xml version="1.0" encoding="utf-8"?>
<sst xmlns="http://schemas.openxmlformats.org/spreadsheetml/2006/main" count="6445" uniqueCount="6445">
  <si>
    <t xml:space="preserve"> (требуется обновление)</t>
  </si>
  <si>
    <t xml:space="preserve">Код отчёта: PP110.OPEN.INFO.QUARTER.HEAT.EIAS</t>
  </si>
  <si>
    <t xml:space="preserve">Версия отчёта: 1.0.5</t>
  </si>
  <si>
    <t xml:space="preserve">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</si>
  <si>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</si>
  <si>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</si>
  <si>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</si>
  <si>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</si>
  <si>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</si>
  <si>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</si>
  <si>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</si>
  <si>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</si>
  <si>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</si>
  <si>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</si>
  <si>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Краснодарский край</t>
  </si>
  <si>
    <t xml:space="preserve">Состав раскрываемой информации</t>
  </si>
  <si>
    <t xml:space="preserve">PRICE, REQUEST</t>
  </si>
  <si>
    <t xml:space="preserve">Начало
периода регулирования</t>
  </si>
  <si>
    <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</si>
  <si>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</si>
  <si>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</si>
  <si>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</si>
  <si>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</si>
  <si>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ORG</t>
  </si>
  <si>
    <t xml:space="preserve">Дата
предоставления информации</t>
  </si>
  <si>
    <t xml:space="preserve">Дата предоставления информации</t>
  </si>
  <si>
    <t xml:space="preserve">BALANCE, QUARTER, TERMS</t>
  </si>
  <si>
    <t>Год</t>
  </si>
  <si>
    <t xml:space="preserve">Отчётный период (год)</t>
  </si>
  <si>
    <t>QUARTER</t>
  </si>
  <si>
    <t>Квартал</t>
  </si>
  <si>
    <t xml:space="preserve">IV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</si>
  <si>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</si>
  <si>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</si>
  <si>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</si>
  <si>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</si>
  <si>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</si>
  <si>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</si>
  <si>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</si>
  <si>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</si>
  <si>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</si>
  <si>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</si>
  <si>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</si>
  <si>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филиал ПАО "ОГК-2" - Адлерская ТЭС</t>
  </si>
  <si>
    <t xml:space="preserve">Наименование (описание) обособленного подразделения</t>
  </si>
  <si>
    <t>ИНН</t>
  </si>
  <si>
    <t>2607018122</t>
  </si>
  <si>
    <t>КПП</t>
  </si>
  <si>
    <t>231743001</t>
  </si>
  <si>
    <t xml:space="preserve">Тип теплоснабжающей организации</t>
  </si>
  <si>
    <t xml:space="preserve">Единая теплоснабжающая организация в ценовой зоне теплоснабжения</t>
  </si>
  <si>
    <t xml:space="preserve">Система налогообложения</t>
  </si>
  <si>
    <t>ОСН</t>
  </si>
  <si>
    <t xml:space="preserve">Отсутствует Интернет в границах территории МО, где организация осуществляет регулируемые виды деятельности</t>
  </si>
  <si>
    <t>нет</t>
  </si>
  <si>
    <t xml:space="preserve">Опубликовать индикативный предельный уровень цен на тепловую энергию (мощность)</t>
  </si>
  <si>
    <t>да</t>
  </si>
  <si>
    <t xml:space="preserve">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</si>
  <si>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 xml:space="preserve">с (!)</t>
    </r>
    <r>
      <rPr>
        <sz val="9"/>
        <rFont val="Tahoma"/>
      </rPr>
      <t xml:space="preserve"> разбивкой по поставщикам</t>
    </r>
  </si>
  <si>
    <r>
      <t xml:space="preserve">Тариф на горячую воду предлагается </t>
    </r>
    <r>
      <rPr>
        <b/>
        <sz val="9"/>
        <rFont val="Tahoma"/>
      </rPr>
      <t xml:space="preserve">без (!)</t>
    </r>
    <r>
      <rPr>
        <sz val="9"/>
        <rFont val="Tahoma"/>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</si>
  <si>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</si>
  <si>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</si>
  <si>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</si>
  <si>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</si>
  <si>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</si>
  <si>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</si>
  <si>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</si>
  <si>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</si>
  <si>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354000, г. Сочи, ул. Суздальская</t>
  </si>
  <si>
    <t xml:space="preserve">Фамилия, имя, отчество руководителя</t>
  </si>
  <si>
    <t xml:space="preserve">Никандров Олег Николаевич</t>
  </si>
  <si>
    <t xml:space="preserve">Ответственный за заполнение формы</t>
  </si>
  <si>
    <t xml:space="preserve">Фамилия, имя, отчество</t>
  </si>
  <si>
    <t xml:space="preserve">Курских Алена Андреевна</t>
  </si>
  <si>
    <t>Должность</t>
  </si>
  <si>
    <t xml:space="preserve">Начальник отдела продаж на розничном рынке</t>
  </si>
  <si>
    <t xml:space="preserve">Контактный телефон</t>
  </si>
  <si>
    <t xml:space="preserve">8(862)241-93-93 (доб.3222)</t>
  </si>
  <si>
    <t>E-mail</t>
  </si>
  <si>
    <t>Kurskikh.Alena@ogk2.ru</t>
  </si>
  <si>
    <t>МР</t>
  </si>
  <si>
    <t>МО</t>
  </si>
  <si>
    <t>ОКТМО</t>
  </si>
  <si>
    <t xml:space="preserve">Муниципальный район</t>
  </si>
  <si>
    <t xml:space="preserve">Муниципальное образование</t>
  </si>
  <si>
    <t xml:space="preserve">№ п/п</t>
  </si>
  <si>
    <t>Наименование</t>
  </si>
  <si>
    <t>3</t>
  </si>
  <si>
    <t>4</t>
  </si>
  <si>
    <t>6</t>
  </si>
  <si>
    <t>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</si>
  <si>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</si>
  <si>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</si>
  <si>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</si>
  <si>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</si>
  <si>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ter_1</t>
  </si>
  <si>
    <t>66</t>
  </si>
  <si>
    <t xml:space="preserve">Город-курорт Сочи</t>
  </si>
  <si>
    <t>03726000</t>
  </si>
  <si>
    <t>2</t>
  </si>
  <si>
    <t>×</t>
  </si>
  <si>
    <t>311</t>
  </si>
  <si>
    <t>Сириус</t>
  </si>
  <si>
    <t>03731000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</si>
  <si>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</si>
  <si>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</si>
  <si>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</si>
  <si>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</si>
  <si>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</si>
  <si>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</si>
  <si>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да/нет</t>
  </si>
  <si>
    <t>1</t>
  </si>
  <si>
    <t>5</t>
  </si>
  <si>
    <t>8</t>
  </si>
  <si>
    <t>ID_DIFF</t>
  </si>
  <si>
    <t>VD</t>
  </si>
  <si>
    <t>AREA</t>
  </si>
  <si>
    <t>SYSTEM</t>
  </si>
  <si>
    <t>diff_1</t>
  </si>
  <si>
    <t>4190070</t>
  </si>
  <si>
    <t>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</si>
  <si>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</si>
  <si>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</si>
  <si>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</si>
  <si>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</si>
  <si>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</si>
  <si>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</si>
  <si>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</si>
  <si>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</si>
  <si>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Примечание</t>
  </si>
  <si>
    <t xml:space="preserve">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</si>
  <si>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</si>
  <si>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</si>
  <si>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</si>
  <si>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</si>
  <si>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</si>
  <si>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</si>
  <si>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</si>
  <si>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</si>
  <si>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</si>
  <si>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</si>
  <si>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</si>
  <si>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</si>
  <si>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</si>
  <si>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</si>
  <si>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</si>
  <si>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</si>
  <si>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</si>
  <si>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</si>
  <si>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</si>
  <si>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9</t>
  </si>
  <si>
    <t>10</t>
  </si>
  <si>
    <t>11</t>
  </si>
  <si>
    <t>12</t>
  </si>
  <si>
    <t>13</t>
  </si>
  <si>
    <t>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</si>
  <si>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</si>
  <si>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</si>
  <si>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</si>
  <si>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</si>
  <si>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</si>
  <si>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</si>
  <si>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</si>
  <si>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</si>
  <si>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</si>
  <si>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</si>
  <si>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</si>
  <si>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</si>
  <si>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 xml:space="preserve">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</si>
  <si>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</si>
  <si>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</si>
  <si>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</si>
  <si>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</si>
  <si>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</si>
  <si>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</si>
  <si>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</si>
  <si>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</si>
  <si>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</si>
  <si>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</si>
  <si>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</si>
  <si>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 xml:space="preserve">Тарифы на услуги по передаче тепловой энергии</t>
  </si>
  <si>
    <t>pIns_PT_VTAR_E1</t>
  </si>
  <si>
    <t>pt_ntar_5</t>
  </si>
  <si>
    <t>pt_ter_5</t>
  </si>
  <si>
    <t>pt_cs_5</t>
  </si>
  <si>
    <t>pt_ist_te_5</t>
  </si>
  <si>
    <t xml:space="preserve">Тарифы на услуги по передаче теплоносителя</t>
  </si>
  <si>
    <t>pIns_PT_VTAR_E2</t>
  </si>
  <si>
    <t>pt_ntar_6</t>
  </si>
  <si>
    <t>pt_ter_6</t>
  </si>
  <si>
    <t>pt_cs_6</t>
  </si>
  <si>
    <t>pt_ist_te_6</t>
  </si>
  <si>
    <t xml:space="preserve">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</si>
  <si>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</si>
  <si>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</si>
  <si>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</si>
  <si>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</si>
  <si>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</si>
  <si>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 xml:space="preserve">Плата за подключение (технологическое присоединение) к системе теплоснабжения</t>
  </si>
  <si>
    <t>pIns_PT_VTAR_G</t>
  </si>
  <si>
    <t>pt_ntar_8</t>
  </si>
  <si>
    <t>pt_ter_8</t>
  </si>
  <si>
    <t>pt_cs_8</t>
  </si>
  <si>
    <t>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</si>
  <si>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</si>
  <si>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</si>
  <si>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</si>
  <si>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</si>
  <si>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</si>
  <si>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</si>
  <si>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</si>
  <si>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</si>
  <si>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</si>
  <si>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pIns_PT_VTAR_A_COLDVSNA</t>
  </si>
  <si>
    <t>pt_ntar_9</t>
  </si>
  <si>
    <t>pt_ter_9</t>
  </si>
  <si>
    <t>pt_cs_9</t>
  </si>
  <si>
    <t xml:space="preserve">Тариф на техническую воду</t>
  </si>
  <si>
    <t>pIns_PT_VTAR_B_COLDVSNA</t>
  </si>
  <si>
    <t>pt_ntar_10</t>
  </si>
  <si>
    <t>pt_ter_10</t>
  </si>
  <si>
    <t>pt_cs_10</t>
  </si>
  <si>
    <t xml:space="preserve">Тариф на транспортировку воды</t>
  </si>
  <si>
    <t>pIns_PT_VTAR_C_COLDVSNA</t>
  </si>
  <si>
    <t>pt_ntar_11</t>
  </si>
  <si>
    <t>pt_ter_11</t>
  </si>
  <si>
    <t>pt_cs_11</t>
  </si>
  <si>
    <t xml:space="preserve">Тариф на подвоз воды</t>
  </si>
  <si>
    <t>pIns_PT_VTAR_D_COLDVSNA</t>
  </si>
  <si>
    <t>pt_ntar_12</t>
  </si>
  <si>
    <t>pt_ter_12</t>
  </si>
  <si>
    <t>pt_cs_12</t>
  </si>
  <si>
    <t xml:space="preserve">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</si>
  <si>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</si>
  <si>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</si>
  <si>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</si>
  <si>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</si>
  <si>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 xml:space="preserve">Тариф на горячую воду (горячее водоснабжение)</t>
  </si>
  <si>
    <t>pIns_PT_VTAR_A_HOTVSNA</t>
  </si>
  <si>
    <t>pt_ntar_14</t>
  </si>
  <si>
    <t>pt_ter_14</t>
  </si>
  <si>
    <t>pt_cs_14</t>
  </si>
  <si>
    <t xml:space="preserve">Тариф на транспортировку горячей воды</t>
  </si>
  <si>
    <t>pIns_PT_VTAR_B_HOTVSNA</t>
  </si>
  <si>
    <t>pt_ntar_15</t>
  </si>
  <si>
    <t>pt_ter_15</t>
  </si>
  <si>
    <t>pt_cs_15</t>
  </si>
  <si>
    <t xml:space="preserve">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</si>
  <si>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</si>
  <si>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</si>
  <si>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</si>
  <si>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</si>
  <si>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 xml:space="preserve">Тариф на водоотведение</t>
  </si>
  <si>
    <t>pIns_PT_VTAR_A_VOTV</t>
  </si>
  <si>
    <t>pt_ntar_17</t>
  </si>
  <si>
    <t>pt_ter_17</t>
  </si>
  <si>
    <t>pt_cs_17</t>
  </si>
  <si>
    <t xml:space="preserve">Тариф на транспортировку сточных вод</t>
  </si>
  <si>
    <t>pIns_PT_VTAR_B_VOTV</t>
  </si>
  <si>
    <t>pt_ntar_18</t>
  </si>
  <si>
    <t>pt_ter_18</t>
  </si>
  <si>
    <t>pt_cs_18</t>
  </si>
  <si>
    <t xml:space="preserve">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</si>
  <si>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</si>
  <si>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</si>
  <si>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</si>
  <si>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</si>
  <si>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</si>
  <si>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</si>
  <si>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</si>
  <si>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</si>
  <si>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</si>
  <si>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</si>
  <si>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</si>
  <si>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</si>
  <si>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Комментарий</t>
  </si>
  <si>
    <t xml:space="preserve">Дифференциация, да/нет</t>
  </si>
  <si>
    <t>Значение</t>
  </si>
  <si>
    <t>Тарифы</t>
  </si>
  <si>
    <t xml:space="preserve">Прочие показатели</t>
  </si>
  <si>
    <t>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</si>
  <si>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</si>
  <si>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</si>
  <si>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</si>
  <si>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</si>
  <si>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</si>
  <si>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</si>
  <si>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</si>
  <si>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</si>
  <si>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</si>
  <si>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</si>
  <si>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Информация</t>
  </si>
  <si>
    <t xml:space="preserve">Субъект Российской Федерации</t>
  </si>
  <si>
    <t xml:space="preserve">Указывается наименование субъекта Российской Федерации</t>
  </si>
  <si>
    <t>x</t>
  </si>
  <si>
    <t>2.2</t>
  </si>
  <si>
    <t xml:space="preserve">идентификационный номер налогоплательщика (ИНН)</t>
  </si>
  <si>
    <t xml:space="preserve">Указывается идентификационный номер налогоплательщика.</t>
  </si>
  <si>
    <t>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</si>
  <si>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</si>
  <si>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</si>
  <si>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</si>
  <si>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</si>
  <si>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5.1</t>
  </si>
  <si>
    <t xml:space="preserve">наименование органа, принявшего решение о присвоении статуса единой теплоснабжающей организации</t>
  </si>
  <si>
    <t>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</si>
  <si>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</si>
  <si>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</si>
  <si>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5.3</t>
  </si>
  <si>
    <t xml:space="preserve">номер решения</t>
  </si>
  <si>
    <t>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</si>
  <si>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</si>
  <si>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</si>
  <si>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</si>
  <si>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3.1</t>
  </si>
  <si>
    <t xml:space="preserve">фамилия, имя и отчество должностного лица</t>
  </si>
  <si>
    <t>3.1.1</t>
  </si>
  <si>
    <t xml:space="preserve">фамилия должностного лица</t>
  </si>
  <si>
    <t>3.1.2</t>
  </si>
  <si>
    <t xml:space="preserve">имя должностного лица</t>
  </si>
  <si>
    <t>3.1.3</t>
  </si>
  <si>
    <t xml:space="preserve">отчество должностного лица</t>
  </si>
  <si>
    <t>3.2</t>
  </si>
  <si>
    <t>должность</t>
  </si>
  <si>
    <t>3.3</t>
  </si>
  <si>
    <t xml:space="preserve">контактный телефон</t>
  </si>
  <si>
    <t>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</si>
  <si>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</si>
  <si>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</si>
  <si>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</si>
  <si>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</si>
  <si>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</si>
  <si>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</si>
  <si>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</si>
  <si>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</si>
  <si>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</si>
  <si>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</si>
  <si>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</si>
  <si>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</si>
  <si>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</si>
  <si>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</si>
  <si>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</si>
  <si>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</si>
  <si>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</si>
  <si>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</si>
  <si>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</si>
  <si>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</si>
  <si>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</si>
  <si>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</si>
  <si>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Теплоэлектростанции</t>
  </si>
  <si>
    <t xml:space="preserve">Тепловые станции</t>
  </si>
  <si>
    <t>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</si>
  <si>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</si>
  <si>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</si>
  <si>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</si>
  <si>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</si>
  <si>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</si>
  <si>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</si>
  <si>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</si>
  <si>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</si>
  <si>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</si>
  <si>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</si>
  <si>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</si>
  <si>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</si>
  <si>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</si>
  <si>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</si>
  <si>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</si>
  <si>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</si>
  <si>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</si>
  <si>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</si>
  <si>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</si>
  <si>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</si>
  <si>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</si>
  <si>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</si>
  <si>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</si>
  <si>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</si>
  <si>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</si>
  <si>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</si>
  <si>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</si>
  <si>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</si>
  <si>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</si>
  <si>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</si>
  <si>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</si>
  <si>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</si>
  <si>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</si>
  <si>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</si>
  <si>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</si>
  <si>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</si>
  <si>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</si>
  <si>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</si>
  <si>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</si>
  <si>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</si>
  <si>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</si>
  <si>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</si>
  <si>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</si>
  <si>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</si>
  <si>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</si>
  <si>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</si>
  <si>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</si>
  <si>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</si>
  <si>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</si>
  <si>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</si>
  <si>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</si>
  <si>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</si>
  <si>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</si>
  <si>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</si>
  <si>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</si>
  <si>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PERIOD_FROM_FIRST_ROW</t>
  </si>
  <si>
    <t>FLAG_BLOCK_COLUMN</t>
  </si>
  <si>
    <t>SPR</t>
  </si>
  <si>
    <t>FLAG_START_DATE</t>
  </si>
  <si>
    <t>FLAG_ETC_PERIOD</t>
  </si>
  <si>
    <t>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</si>
  <si>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</si>
  <si>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</si>
  <si>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</si>
  <si>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</si>
  <si>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</si>
  <si>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</si>
  <si>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</si>
  <si>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</si>
  <si>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</si>
  <si>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</si>
  <si>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</si>
  <si>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</si>
  <si>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</si>
  <si>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</si>
  <si>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NUM_NTAR</t>
  </si>
  <si>
    <t>NUM_TER</t>
  </si>
  <si>
    <t>NUM_CS</t>
  </si>
  <si>
    <t>NUM_IST_TE</t>
  </si>
  <si>
    <t>NUM_SCHEME</t>
  </si>
  <si>
    <t>NUM_GC</t>
  </si>
  <si>
    <t>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</si>
  <si>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</si>
  <si>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</si>
  <si>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</si>
  <si>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</si>
  <si>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</si>
  <si>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</si>
  <si>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</si>
  <si>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</si>
  <si>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</si>
  <si>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</si>
  <si>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</si>
  <si>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</si>
  <si>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</si>
  <si>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</si>
  <si>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</si>
  <si>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</si>
  <si>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</si>
  <si>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</si>
  <si>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</si>
  <si>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</si>
  <si>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</si>
  <si>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</si>
  <si>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</si>
  <si>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</si>
  <si>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FLAG</t>
  </si>
  <si>
    <t>LOAD</t>
  </si>
  <si>
    <t>NETS</t>
  </si>
  <si>
    <t>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</si>
  <si>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</si>
  <si>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</si>
  <si>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</si>
  <si>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</si>
  <si>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</si>
  <si>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</si>
  <si>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</si>
  <si>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</si>
  <si>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</si>
  <si>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</si>
  <si>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</si>
  <si>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</si>
  <si>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</si>
  <si>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</si>
  <si>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</si>
  <si>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</si>
  <si>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</si>
  <si>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</si>
  <si>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NUM_FLAG_DIFF</t>
  </si>
  <si>
    <t>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</si>
  <si>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</si>
  <si>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</si>
  <si>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</si>
  <si>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pt_ist_te_9</t>
  </si>
  <si>
    <t>pt_ist_te_10</t>
  </si>
  <si>
    <t>pt_ist_te_11</t>
  </si>
  <si>
    <t>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</si>
  <si>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</si>
  <si>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</si>
  <si>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</si>
  <si>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</si>
  <si>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</si>
  <si>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</si>
  <si>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</si>
  <si>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</si>
  <si>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</si>
  <si>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</si>
  <si>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</si>
  <si>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</si>
  <si>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</si>
  <si>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</si>
  <si>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</si>
  <si>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</si>
  <si>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</si>
  <si>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</si>
  <si>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</si>
  <si>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pt_ist_te_17</t>
  </si>
  <si>
    <t>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</si>
  <si>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</si>
  <si>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</si>
  <si>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</si>
  <si>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</si>
  <si>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</si>
  <si>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</si>
  <si>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</si>
  <si>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</si>
  <si>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</si>
  <si>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</si>
  <si>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</si>
  <si>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</si>
  <si>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</si>
  <si>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</si>
  <si>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</si>
  <si>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pt_ist_te_14</t>
  </si>
  <si>
    <t>pt_ist_te_16</t>
  </si>
  <si>
    <t>vt</t>
  </si>
  <si>
    <t>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</si>
  <si>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</si>
  <si>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</si>
  <si>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</si>
  <si>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</si>
  <si>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</si>
  <si>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</si>
  <si>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</si>
  <si>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</si>
  <si>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</si>
  <si>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Гкал/ч</t>
  </si>
  <si>
    <t xml:space="preserve">Указывается установленная тепловая мощность для источника тепловой энергии.</t>
  </si>
  <si>
    <t>%</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</si>
  <si>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</si>
  <si>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</si>
  <si>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</si>
  <si>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</si>
  <si>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</si>
  <si>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</si>
  <si>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</si>
  <si>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</si>
  <si>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p</t>
  </si>
  <si>
    <t>HEAT_P1</t>
  </si>
  <si>
    <t xml:space="preserve">Добавить вид топлива</t>
  </si>
  <si>
    <t>HOTVSNA_P1</t>
  </si>
  <si>
    <t>руб.</t>
  </si>
  <si>
    <t xml:space="preserve">тыс. кВт·ч</t>
  </si>
  <si>
    <t>HEAT_P6</t>
  </si>
  <si>
    <t>NOT_HOTVSNA</t>
  </si>
  <si>
    <t>отсутствует</t>
  </si>
  <si>
    <t>NOT_HEAT_P1</t>
  </si>
  <si>
    <t xml:space="preserve">Добавить прочие расходы</t>
  </si>
  <si>
    <t>HEAT_P2</t>
  </si>
  <si>
    <t>NOT_HEAT_P2</t>
  </si>
  <si>
    <t>COLDVSNA_P1</t>
  </si>
  <si>
    <t xml:space="preserve">тыс. куб. м</t>
  </si>
  <si>
    <t>HOTVSNA_P2</t>
  </si>
  <si>
    <t xml:space="preserve">тыс. Гкал</t>
  </si>
  <si>
    <t>VOTV_P1</t>
  </si>
  <si>
    <t>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</si>
  <si>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</si>
  <si>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</si>
  <si>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hyp</t>
  </si>
  <si>
    <t xml:space="preserve">тыс. Гкал/год</t>
  </si>
  <si>
    <t>человек</t>
  </si>
  <si>
    <t>HEAT_P4</t>
  </si>
  <si>
    <t>VSNA</t>
  </si>
  <si>
    <t xml:space="preserve">тыс. кВт·ч на тыс. куб. м</t>
  </si>
  <si>
    <t>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</si>
  <si>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</si>
  <si>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</si>
  <si>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</si>
  <si>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</si>
  <si>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</si>
  <si>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</si>
  <si>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</si>
  <si>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</si>
  <si>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</si>
  <si>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</si>
  <si>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</si>
  <si>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</si>
  <si>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</si>
  <si>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</si>
  <si>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</si>
  <si>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</si>
  <si>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</si>
  <si>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</si>
  <si>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</si>
  <si>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</si>
  <si>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</si>
  <si>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</si>
  <si>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</si>
  <si>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</si>
  <si>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</si>
  <si>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</si>
  <si>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</si>
  <si>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</si>
  <si>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 xml:space="preserve">производственные расходы, в том числе:</t>
  </si>
  <si>
    <t xml:space="preserve">Указывается общая сумма производственных расходов.</t>
  </si>
  <si>
    <t>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</si>
  <si>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</si>
  <si>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</si>
  <si>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</si>
  <si>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</si>
  <si>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</si>
  <si>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</si>
  <si>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2.2.1</t>
  </si>
  <si>
    <t xml:space="preserve">расходы на текущий ремонт</t>
  </si>
  <si>
    <t>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</si>
  <si>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</si>
  <si>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</si>
  <si>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</si>
  <si>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2.3.1</t>
  </si>
  <si>
    <t xml:space="preserve">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</si>
  <si>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</si>
  <si>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</si>
  <si>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</si>
  <si>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</si>
  <si>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</si>
  <si>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2.4.1</t>
  </si>
  <si>
    <t xml:space="preserve">расходы на амортизацию основных средств</t>
  </si>
  <si>
    <t>2.4.2</t>
  </si>
  <si>
    <t xml:space="preserve">расходы на амортизацию нематериальных активов</t>
  </si>
  <si>
    <t>2.5</t>
  </si>
  <si>
    <t xml:space="preserve">расходы на арендную плату</t>
  </si>
  <si>
    <t>2.6</t>
  </si>
  <si>
    <t xml:space="preserve">расходы на лизинговые платежи</t>
  </si>
  <si>
    <t>2.7</t>
  </si>
  <si>
    <t xml:space="preserve"> расходы на концессионную плату</t>
  </si>
  <si>
    <t>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</si>
  <si>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</si>
  <si>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</si>
  <si>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</si>
  <si>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</si>
  <si>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</si>
  <si>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</si>
  <si>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</si>
  <si>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</si>
  <si>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</si>
  <si>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</si>
  <si>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</si>
  <si>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</si>
  <si>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</si>
  <si>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</si>
  <si>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</si>
  <si>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</si>
  <si>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</si>
  <si>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</si>
  <si>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</si>
  <si>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</si>
  <si>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</si>
  <si>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</si>
  <si>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</si>
  <si>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</si>
  <si>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</si>
  <si>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</si>
  <si>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</si>
  <si>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</si>
  <si>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</si>
  <si>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</si>
  <si>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</si>
  <si>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</si>
  <si>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</si>
  <si>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</si>
  <si>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</si>
  <si>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</si>
  <si>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</si>
  <si>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</si>
  <si>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</si>
  <si>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</si>
  <si>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</si>
  <si>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</si>
  <si>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</si>
  <si>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</si>
  <si>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</si>
  <si>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</si>
  <si>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</si>
  <si>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</si>
  <si>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</si>
  <si>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</si>
  <si>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</si>
  <si>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</si>
  <si>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</si>
  <si>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</si>
  <si>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</si>
  <si>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</si>
  <si>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</si>
  <si>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</si>
  <si>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</si>
  <si>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</si>
  <si>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</si>
  <si>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</si>
  <si>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</si>
  <si>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</si>
  <si>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</si>
  <si>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</si>
  <si>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</si>
  <si>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</si>
  <si>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</si>
  <si>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</si>
  <si>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</si>
  <si>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</si>
  <si>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</si>
  <si>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</si>
  <si>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</si>
  <si>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</si>
  <si>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шт.</t>
  </si>
  <si>
    <t xml:space="preserve">средняя продолжительность устранения превышения разрешенных отклонений значений параметров</t>
  </si>
  <si>
    <t>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</si>
  <si>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</si>
  <si>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</si>
  <si>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</si>
  <si>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</si>
  <si>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</si>
  <si>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</si>
  <si>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</si>
  <si>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</si>
  <si>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</si>
  <si>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</si>
  <si>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 xml:space="preserve">удельный расход топлива на производство единицы тепловой энергии, отпускаемой с коллекторов источников тепловой энергии</t>
  </si>
  <si>
    <t>т.у.т./Гкал</t>
  </si>
  <si>
    <t>4.2.2</t>
  </si>
  <si>
    <t xml:space="preserve">отношение величины технологических потерь к материальной характеристике тепловой сети</t>
  </si>
  <si>
    <t>4.2.1.1</t>
  </si>
  <si>
    <t xml:space="preserve">при передаче тепловой энергии</t>
  </si>
  <si>
    <t>Гкал/кв.м</t>
  </si>
  <si>
    <t>4.2.1.2</t>
  </si>
  <si>
    <t xml:space="preserve">при передаче теплоносителя</t>
  </si>
  <si>
    <t>тонн/кв.м</t>
  </si>
  <si>
    <t>4.2.3</t>
  </si>
  <si>
    <t xml:space="preserve">величина технологических потерь</t>
  </si>
  <si>
    <t>4.2.3.1</t>
  </si>
  <si>
    <t>Гкал/год</t>
  </si>
  <si>
    <t>4.2.3.2</t>
  </si>
  <si>
    <t xml:space="preserve">при передаче теплоносителя по тепловым сетям</t>
  </si>
  <si>
    <t>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</si>
  <si>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</si>
  <si>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</si>
  <si>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</si>
  <si>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</si>
  <si>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</si>
  <si>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</si>
  <si>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</si>
  <si>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</si>
  <si>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</si>
  <si>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</si>
  <si>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</si>
  <si>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</si>
  <si>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</si>
  <si>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</si>
  <si>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</si>
  <si>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</si>
  <si>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</si>
  <si>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</si>
  <si>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</si>
  <si>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</si>
  <si>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</si>
  <si>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</si>
  <si>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мутность</t>
  </si>
  <si>
    <t>цветность</t>
  </si>
  <si>
    <t xml:space="preserve">хлор остаточный общий, в том числе:</t>
  </si>
  <si>
    <t>4.3.1</t>
  </si>
  <si>
    <t xml:space="preserve">хлор остаточный связанный</t>
  </si>
  <si>
    <t>4.3.2</t>
  </si>
  <si>
    <t xml:space="preserve">хлор остаточный свободный</t>
  </si>
  <si>
    <t>4.4</t>
  </si>
  <si>
    <t xml:space="preserve">общие колиформные бактерии</t>
  </si>
  <si>
    <t>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</si>
  <si>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</si>
  <si>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</si>
  <si>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</si>
  <si>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</si>
  <si>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</si>
  <si>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</si>
  <si>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</si>
  <si>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</si>
  <si>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</si>
  <si>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</si>
  <si>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</si>
  <si>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</si>
  <si>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</si>
  <si>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</si>
  <si>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</si>
  <si>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</si>
  <si>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</si>
  <si>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</si>
  <si>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</si>
  <si>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</si>
  <si>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</si>
  <si>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</si>
  <si>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</si>
  <si>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</si>
  <si>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</si>
  <si>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</si>
  <si>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</si>
  <si>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</si>
  <si>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</si>
  <si>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</si>
  <si>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</si>
  <si>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</si>
  <si>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</si>
  <si>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</si>
  <si>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БПК5</t>
  </si>
  <si>
    <t>аммоний-ион</t>
  </si>
  <si>
    <t>нитрит-анион</t>
  </si>
  <si>
    <t>3.5</t>
  </si>
  <si>
    <t xml:space="preserve">фосфаты (по Р)</t>
  </si>
  <si>
    <t>3.6</t>
  </si>
  <si>
    <t>нефтепродукты</t>
  </si>
  <si>
    <t>3.7</t>
  </si>
  <si>
    <t>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</si>
  <si>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</si>
  <si>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</si>
  <si>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</si>
  <si>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</si>
  <si>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</si>
  <si>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</si>
  <si>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</si>
  <si>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</si>
  <si>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</si>
  <si>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</si>
  <si>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</si>
  <si>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</si>
  <si>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</si>
  <si>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</si>
  <si>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</si>
  <si>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</si>
  <si>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</si>
  <si>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</si>
  <si>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</si>
  <si>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</si>
  <si>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</si>
  <si>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</si>
  <si>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</si>
  <si>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</si>
  <si>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</si>
  <si>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</si>
  <si>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</si>
  <si>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1.0</t>
  </si>
  <si>
    <t xml:space="preserve">Сведения о выводе источников тепловой энергии из эксплуатации</t>
  </si>
  <si>
    <t>2.0</t>
  </si>
  <si>
    <t xml:space="preserve">Сведения о выводе тепловых сетей из эксплуатации</t>
  </si>
  <si>
    <t xml:space="preserve">Добавить тепловую сеть</t>
  </si>
  <si>
    <t>3.0</t>
  </si>
  <si>
    <t xml:space="preserve">Сведения об основаниях ограничения подачи тепловой энергии</t>
  </si>
  <si>
    <t>Осуществлялось</t>
  </si>
  <si>
    <t xml:space="preserve">Не 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</si>
  <si>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</si>
  <si>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</si>
  <si>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</si>
  <si>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</si>
  <si>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</si>
  <si>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</si>
  <si>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</si>
  <si>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</si>
  <si>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</si>
  <si>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</si>
  <si>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</si>
  <si>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</si>
  <si>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</si>
  <si>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</si>
  <si>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</si>
  <si>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</si>
  <si>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</si>
  <si>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</si>
  <si>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</si>
  <si>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</si>
  <si>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Вид</t>
  </si>
  <si>
    <t>Номер</t>
  </si>
  <si>
    <t xml:space="preserve">Дата принятия</t>
  </si>
  <si>
    <t>Тип</t>
  </si>
  <si>
    <t>Наличие</t>
  </si>
  <si>
    <t xml:space="preserve">Реквизиты концессионного(-ых) соглашения(-ий)</t>
  </si>
  <si>
    <t>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</si>
  <si>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</si>
  <si>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</si>
  <si>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</si>
  <si>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</si>
  <si>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</si>
  <si>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</si>
  <si>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</si>
  <si>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</si>
  <si>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</si>
  <si>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</si>
  <si>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</si>
  <si>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</si>
  <si>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</si>
  <si>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</si>
  <si>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</si>
  <si>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</si>
  <si>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</si>
  <si>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</si>
  <si>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</si>
  <si>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</si>
  <si>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План</t>
  </si>
  <si>
    <t>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</si>
  <si>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</si>
  <si>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</si>
  <si>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</si>
  <si>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</si>
  <si>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</si>
  <si>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</si>
  <si>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</si>
  <si>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</si>
  <si>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</si>
  <si>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</si>
  <si>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</si>
  <si>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Всего</t>
  </si>
  <si>
    <t>I</t>
  </si>
  <si>
    <t xml:space="preserve">Расходы на мероприятия инвестиционной программы</t>
  </si>
  <si>
    <t xml:space="preserve">Собственные средства</t>
  </si>
  <si>
    <t>1.1</t>
  </si>
  <si>
    <t xml:space="preserve">Амортизационные отчисления за исключением переоценки основных средств и нематериальных активов</t>
  </si>
  <si>
    <t>1.2</t>
  </si>
  <si>
    <t xml:space="preserve">Амортизационные отчисления в результате переоценки основных средств и нематериальных активов</t>
  </si>
  <si>
    <t>1.3</t>
  </si>
  <si>
    <t xml:space="preserve">Капитальные вложения (инвестиции), финансируемые за счет нормативной прибыли, учитываемой в необходимой валовой выручке</t>
  </si>
  <si>
    <t>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</si>
  <si>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</si>
  <si>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</si>
  <si>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</si>
  <si>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</si>
  <si>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</si>
  <si>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</si>
  <si>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</si>
  <si>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</si>
  <si>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 xml:space="preserve">Экономия средств, достигнутая регулируемой организацией в результате снижения расходов</t>
  </si>
  <si>
    <t>1.9</t>
  </si>
  <si>
    <t xml:space="preserve">Средства, полученные за счет платы за подключение (технологическое присоединение)</t>
  </si>
  <si>
    <t>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</si>
  <si>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</si>
  <si>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</si>
  <si>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</si>
  <si>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1.12</t>
  </si>
  <si>
    <t xml:space="preserve">Прочие собственные средства</t>
  </si>
  <si>
    <t xml:space="preserve">Привлеченные средства</t>
  </si>
  <si>
    <t>Займы</t>
  </si>
  <si>
    <t>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</si>
  <si>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</si>
  <si>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</si>
  <si>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</si>
  <si>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</si>
  <si>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</si>
  <si>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</si>
  <si>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</si>
  <si>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</si>
  <si>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</si>
  <si>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1.1.1</t>
  </si>
  <si>
    <t xml:space="preserve">Финансируемые за счет нормативной прибыли, учитываемой в необходимой валовой выручке</t>
  </si>
  <si>
    <t>1.1.2</t>
  </si>
  <si>
    <t xml:space="preserve">Амортизационные отчисления</t>
  </si>
  <si>
    <t>1.1.3</t>
  </si>
  <si>
    <t xml:space="preserve">Иные собственные средства</t>
  </si>
  <si>
    <t>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</si>
  <si>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</si>
  <si>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</si>
  <si>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</si>
  <si>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</si>
  <si>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</si>
  <si>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2.1.3</t>
  </si>
  <si>
    <t>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</si>
  <si>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</si>
  <si>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</si>
  <si>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</si>
  <si>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</si>
  <si>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</si>
  <si>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</si>
  <si>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</si>
  <si>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</si>
  <si>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</si>
  <si>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</si>
  <si>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</si>
  <si>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</si>
  <si>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</si>
  <si>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</si>
  <si>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</si>
  <si>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</si>
  <si>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</si>
  <si>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</si>
  <si>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</si>
  <si>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</si>
  <si>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</si>
  <si>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</si>
  <si>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</si>
  <si>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</si>
  <si>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</si>
  <si>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</si>
  <si>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</si>
  <si>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</si>
  <si>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</si>
  <si>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</si>
  <si>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</si>
  <si>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</si>
  <si>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</si>
  <si>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</si>
  <si>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</si>
  <si>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</si>
  <si>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</si>
  <si>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</si>
  <si>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</si>
  <si>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</si>
  <si>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кВт*ч/куб.м</t>
  </si>
  <si>
    <t>план</t>
  </si>
  <si>
    <t>факт</t>
  </si>
  <si>
    <t>ед</t>
  </si>
  <si>
    <t>5.0</t>
  </si>
  <si>
    <t xml:space="preserve">Тепловая энергия в горячей воде</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</si>
  <si>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</si>
  <si>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</si>
  <si>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</si>
  <si>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</si>
  <si>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</si>
  <si>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</si>
  <si>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</si>
  <si>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</si>
  <si>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</si>
  <si>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</si>
  <si>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</si>
  <si>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</si>
  <si>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</si>
  <si>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</si>
  <si>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</si>
  <si>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</si>
  <si>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</si>
  <si>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</si>
  <si>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</si>
  <si>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</si>
  <si>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</si>
  <si>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</si>
  <si>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</si>
  <si>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</si>
  <si>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</si>
  <si>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</si>
  <si>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</si>
  <si>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</si>
  <si>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</si>
  <si>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 xml:space="preserve">Добавить период</t>
  </si>
  <si>
    <t>p2</t>
  </si>
  <si>
    <t xml:space="preserve">Период действия тарифов</t>
  </si>
  <si>
    <t>с</t>
  </si>
  <si>
    <t>по</t>
  </si>
  <si>
    <t>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</si>
  <si>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</si>
  <si>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</si>
  <si>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</si>
  <si>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</si>
  <si>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</si>
  <si>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</si>
  <si>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</si>
  <si>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</si>
  <si>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</si>
  <si>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</si>
  <si>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</si>
  <si>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</si>
  <si>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</si>
  <si>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</si>
  <si>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</si>
  <si>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</si>
  <si>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</si>
  <si>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</si>
  <si>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</si>
  <si>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</si>
  <si>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</si>
  <si>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Сведения</t>
  </si>
  <si>
    <t>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</si>
  <si>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</si>
  <si>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</si>
  <si>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</si>
  <si>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</si>
  <si>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</si>
  <si>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</si>
  <si>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</si>
  <si>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</si>
  <si>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</si>
  <si>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</si>
  <si>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</si>
  <si>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</si>
  <si>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</si>
  <si>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</si>
  <si>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</si>
  <si>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</si>
  <si>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</si>
  <si>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</si>
  <si>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</si>
  <si>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</si>
  <si>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</si>
  <si>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</si>
  <si>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</si>
  <si>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дата</t>
  </si>
  <si>
    <t>время</t>
  </si>
  <si>
    <t>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</si>
  <si>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</si>
  <si>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</si>
  <si>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</si>
  <si>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</si>
  <si>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</si>
  <si>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</si>
  <si>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</si>
  <si>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</si>
  <si>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</si>
  <si>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</si>
  <si>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</si>
  <si>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</si>
  <si>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</si>
  <si>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Комментарии</t>
  </si>
  <si>
    <t xml:space="preserve">ПАО «ОГК-2» в лице филиала ПАО «ОГК-2» - Адлерская ТЭС является единой теплоснабжающей организацией, в зоне ответственности которой осуществляется теплоснабжение населения и объектов нежилого фонда микрорайона Блиново и Имеретинской низменности (ФТ Сириус), право хозяйственного ведения тепловыми сетями микрорайона Блиново и Имеретинской низменности находится у МУП города Сочи «Водоканал». </t>
  </si>
  <si>
    <t xml:space="preserve">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</si>
  <si>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</si>
  <si>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</si>
  <si>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</si>
  <si>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</si>
  <si>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</si>
  <si>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</si>
  <si>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</si>
  <si>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</si>
  <si>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</si>
  <si>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</si>
  <si>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</si>
  <si>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</si>
  <si>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</si>
  <si>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</si>
  <si>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</si>
  <si>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</si>
  <si>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</si>
  <si>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</si>
  <si>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 xml:space="preserve">Добавить реквизиты</t>
  </si>
  <si>
    <t>et_IP_MAIN_PROPERTY</t>
  </si>
  <si>
    <t>et_IP_DETAILED</t>
  </si>
  <si>
    <t xml:space="preserve">Добавить источник финансирования</t>
  </si>
  <si>
    <t xml:space="preserve">Добавить объект инфраструктуры</t>
  </si>
  <si>
    <t xml:space="preserve">Добавить мероприятие</t>
  </si>
  <si>
    <t>et_IP_DETAILED_OBJECT</t>
  </si>
  <si>
    <t>et_IP_DETAILED_IST_FIN</t>
  </si>
  <si>
    <t>et_IP_DETAILED_EVENT</t>
  </si>
  <si>
    <t>et_QRE</t>
  </si>
  <si>
    <t xml:space="preserve">Добавить цель</t>
  </si>
  <si>
    <t>et_B_FHD20_1_NOT_HEAT</t>
  </si>
  <si>
    <t xml:space="preserve">Добавить поставщика</t>
  </si>
  <si>
    <t>et_B_FHD20_1_HEAT</t>
  </si>
  <si>
    <t xml:space="preserve">et_B_FHD20_2, _3, _4</t>
  </si>
  <si>
    <t xml:space="preserve">Итого по поставщику, в том числе</t>
  </si>
  <si>
    <t xml:space="preserve">Добавить товар/услугу</t>
  </si>
  <si>
    <t xml:space="preserve">Добавить способ</t>
  </si>
  <si>
    <t>et_DIFFERENTIATION_TARIFF(_etc)</t>
  </si>
  <si>
    <t>et_DIFFERENTIATION_TARIFF_NOT_HEAT(_etc)</t>
  </si>
  <si>
    <t>et_DIFFERENTIATION_TKO(_etc)</t>
  </si>
  <si>
    <t xml:space="preserve">Добавить класс ТКО</t>
  </si>
  <si>
    <t xml:space="preserve">Добавить вид ТКО</t>
  </si>
  <si>
    <t xml:space="preserve">Добавить технологическую особенность</t>
  </si>
  <si>
    <t>REGION</t>
  </si>
  <si>
    <t>year_list1</t>
  </si>
  <si>
    <t>year_list</t>
  </si>
  <si>
    <t>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</si>
  <si>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</si>
  <si>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</si>
  <si>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</si>
  <si>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</si>
  <si>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</si>
  <si>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</si>
  <si>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</si>
  <si>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</si>
  <si>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</si>
  <si>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</si>
  <si>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</si>
  <si>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</si>
  <si>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</si>
  <si>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</si>
  <si>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</si>
  <si>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</si>
  <si>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</si>
  <si>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</si>
  <si>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</si>
  <si>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name_rates_4</t>
  </si>
  <si>
    <t>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</si>
  <si>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</si>
  <si>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</si>
  <si>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</si>
  <si>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</si>
  <si>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</si>
  <si>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</si>
  <si>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</si>
  <si>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</si>
  <si>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</si>
  <si>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List_H</t>
  </si>
  <si>
    <t>List_M</t>
  </si>
  <si>
    <t>kind_of_org_type</t>
  </si>
  <si>
    <t xml:space="preserve">Виды топлива
/kind_of_fuels/</t>
  </si>
  <si>
    <t>YEAR_IP_LIST</t>
  </si>
  <si>
    <t>MONTH_IP_LIST</t>
  </si>
  <si>
    <t>COLDVSNA/HOTVSNA</t>
  </si>
  <si>
    <t>OTKO</t>
  </si>
  <si>
    <t xml:space="preserve">Алтайский край</t>
  </si>
  <si>
    <t>январь</t>
  </si>
  <si>
    <t xml:space="preserve">I квартал</t>
  </si>
  <si>
    <t xml:space="preserve">На официальном сайте организации</t>
  </si>
  <si>
    <t>тыс.куб.м/сутки</t>
  </si>
  <si>
    <t xml:space="preserve">метод экономически обоснованных расходов (затрат)</t>
  </si>
  <si>
    <t>Передача+Сбыт</t>
  </si>
  <si>
    <t>вода</t>
  </si>
  <si>
    <t xml:space="preserve">без дифференциации</t>
  </si>
  <si>
    <t>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</si>
  <si>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</si>
  <si>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</si>
  <si>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</si>
  <si>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</si>
  <si>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</si>
  <si>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</si>
  <si>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</si>
  <si>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</si>
  <si>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 xml:space="preserve">Газ природный по регулируемой цене</t>
  </si>
  <si>
    <t>Конкурс</t>
  </si>
  <si>
    <t xml:space="preserve">объемы потребления воды абонентами</t>
  </si>
  <si>
    <t xml:space="preserve">40 мм и менее</t>
  </si>
  <si>
    <t>00</t>
  </si>
  <si>
    <t xml:space="preserve">Регулируемая организация</t>
  </si>
  <si>
    <t xml:space="preserve">газ природный по регулируемой цене</t>
  </si>
  <si>
    <t xml:space="preserve">тыс м3</t>
  </si>
  <si>
    <t>Январь</t>
  </si>
  <si>
    <t xml:space="preserve">Амурская область</t>
  </si>
  <si>
    <t>февраль</t>
  </si>
  <si>
    <t xml:space="preserve">II квартал</t>
  </si>
  <si>
    <t xml:space="preserve">На сайте регулирующего органа</t>
  </si>
  <si>
    <t>УСН</t>
  </si>
  <si>
    <t xml:space="preserve">метод индексации установленных тарифов</t>
  </si>
  <si>
    <t>Передача</t>
  </si>
  <si>
    <t>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</si>
  <si>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</si>
  <si>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</si>
  <si>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</si>
  <si>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</si>
  <si>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</si>
  <si>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</si>
  <si>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</si>
  <si>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</si>
  <si>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</si>
  <si>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</si>
  <si>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Пар</t>
  </si>
  <si>
    <t xml:space="preserve">Газ природный по нерегулируемой цене</t>
  </si>
  <si>
    <t>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</si>
  <si>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</si>
  <si>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</si>
  <si>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</si>
  <si>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01</t>
  </si>
  <si>
    <t xml:space="preserve">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</si>
  <si>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</si>
  <si>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</si>
  <si>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</si>
  <si>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</si>
  <si>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</si>
  <si>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</si>
  <si>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</si>
  <si>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</si>
  <si>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</si>
  <si>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 xml:space="preserve">Архангельская область</t>
  </si>
  <si>
    <t>март</t>
  </si>
  <si>
    <t xml:space="preserve">III квартал</t>
  </si>
  <si>
    <t>ЕСХН</t>
  </si>
  <si>
    <t>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</si>
  <si>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</si>
  <si>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</si>
  <si>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</si>
  <si>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</si>
  <si>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</si>
  <si>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</si>
  <si>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</si>
  <si>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</si>
  <si>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</si>
  <si>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</si>
  <si>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</si>
  <si>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Уголь</t>
  </si>
  <si>
    <t xml:space="preserve">Аукцион в электронной форме</t>
  </si>
  <si>
    <t>иное</t>
  </si>
  <si>
    <t xml:space="preserve">от 71 мм до 100 мм включительно</t>
  </si>
  <si>
    <t>02</t>
  </si>
  <si>
    <t xml:space="preserve">Теплоснабжающая организация в ценовой зоне теплоснабжения</t>
  </si>
  <si>
    <t xml:space="preserve">газ сжиженный</t>
  </si>
  <si>
    <t>кг</t>
  </si>
  <si>
    <t>Март</t>
  </si>
  <si>
    <t xml:space="preserve">[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</si>
  <si>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</si>
  <si>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</si>
  <si>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</si>
  <si>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</si>
  <si>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</si>
  <si>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</si>
  <si>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</si>
  <si>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</si>
  <si>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 xml:space="preserve">Астраханская область</t>
  </si>
  <si>
    <t>апрель</t>
  </si>
  <si>
    <t>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</si>
  <si>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</si>
  <si>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</si>
  <si>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</si>
  <si>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</si>
  <si>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</si>
  <si>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</si>
  <si>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</si>
  <si>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</si>
  <si>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</si>
  <si>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</si>
  <si>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Мазут</t>
  </si>
  <si>
    <t xml:space="preserve">Запрос котировок</t>
  </si>
  <si>
    <t xml:space="preserve">от 101 мм до 150 мм включительно</t>
  </si>
  <si>
    <t>03</t>
  </si>
  <si>
    <t xml:space="preserve">Теплосетевая организация в ценовой зоне теплоснабжения</t>
  </si>
  <si>
    <t xml:space="preserve">газовый конденсат</t>
  </si>
  <si>
    <t>тонны</t>
  </si>
  <si>
    <t>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</si>
  <si>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</si>
  <si>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</si>
  <si>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</si>
  <si>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</si>
  <si>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</si>
  <si>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май</t>
  </si>
  <si>
    <t>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</si>
  <si>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</si>
  <si>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</si>
  <si>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</si>
  <si>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</si>
  <si>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</si>
  <si>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</si>
  <si>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</si>
  <si>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</si>
  <si>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</si>
  <si>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</si>
  <si>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</si>
  <si>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</si>
  <si>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</si>
  <si>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</si>
  <si>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</si>
  <si>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</si>
  <si>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</si>
  <si>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июнь</t>
  </si>
  <si>
    <t xml:space="preserve">смешанное налогообложение</t>
  </si>
  <si>
    <t>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</si>
  <si>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</si>
  <si>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</si>
  <si>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</si>
  <si>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Дрова</t>
  </si>
  <si>
    <t>Иное</t>
  </si>
  <si>
    <t xml:space="preserve">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</si>
  <si>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</si>
  <si>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</si>
  <si>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</si>
  <si>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</si>
  <si>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</si>
  <si>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</si>
  <si>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</si>
  <si>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</si>
  <si>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июль</t>
  </si>
  <si>
    <t>руб./Гкал</t>
  </si>
  <si>
    <t xml:space="preserve">производство (некомбинированная выработка)</t>
  </si>
  <si>
    <t xml:space="preserve">острый и редуцированный пар</t>
  </si>
  <si>
    <t>Электроэнергия</t>
  </si>
  <si>
    <t xml:space="preserve">от 250  мм и более</t>
  </si>
  <si>
    <t>06</t>
  </si>
  <si>
    <t xml:space="preserve">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</si>
  <si>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</si>
  <si>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</si>
  <si>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</si>
  <si>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</si>
  <si>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</si>
  <si>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</si>
  <si>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</si>
  <si>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</si>
  <si>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</si>
  <si>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</si>
  <si>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</si>
  <si>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</si>
  <si>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Прочее</t>
  </si>
  <si>
    <t xml:space="preserve">Плата за подключение к системе теплоснабжения</t>
  </si>
  <si>
    <t>07</t>
  </si>
  <si>
    <t xml:space="preserve">по группам мероприятий</t>
  </si>
  <si>
    <t xml:space="preserve">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</si>
  <si>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</si>
  <si>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</si>
  <si>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</si>
  <si>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</si>
  <si>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</si>
  <si>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</si>
  <si>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</si>
  <si>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</si>
  <si>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</si>
  <si>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</si>
  <si>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</si>
  <si>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</si>
  <si>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</si>
  <si>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08</t>
  </si>
  <si>
    <t xml:space="preserve">в целом на инвестиционную программу</t>
  </si>
  <si>
    <t xml:space="preserve">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</si>
  <si>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</si>
  <si>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</si>
  <si>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</si>
  <si>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</si>
  <si>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</si>
  <si>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октябрь</t>
  </si>
  <si>
    <t xml:space="preserve">тариф указан без НДС для плательщиков НДС</t>
  </si>
  <si>
    <t xml:space="preserve">тариф не утверждался</t>
  </si>
  <si>
    <t>кВт*ч</t>
  </si>
  <si>
    <t>Торги/аукционы</t>
  </si>
  <si>
    <t>прочее</t>
  </si>
  <si>
    <t xml:space="preserve">Форма 4.2.4 Информация о величинах тарифов на подключение к системе теплоснабжения</t>
  </si>
  <si>
    <t>09</t>
  </si>
  <si>
    <t xml:space="preserve">по муниципальным образованиям/территориям</t>
  </si>
  <si>
    <t xml:space="preserve">уголь каменный</t>
  </si>
  <si>
    <t>Октябрь</t>
  </si>
  <si>
    <t xml:space="preserve">  [ Экономия расходов ]</t>
  </si>
  <si>
    <t xml:space="preserve">      Прочие займы</t>
  </si>
  <si>
    <t>г.Байконур</t>
  </si>
  <si>
    <t>ноябрь</t>
  </si>
  <si>
    <t>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</si>
  <si>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</si>
  <si>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</si>
  <si>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</si>
  <si>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</si>
  <si>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</si>
  <si>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</si>
  <si>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</si>
  <si>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</si>
  <si>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</si>
  <si>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</si>
  <si>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</si>
  <si>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</si>
  <si>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</si>
  <si>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</si>
  <si>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</si>
  <si>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</si>
  <si>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</si>
  <si>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</si>
  <si>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</si>
  <si>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</si>
  <si>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</si>
  <si>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</si>
  <si>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</si>
  <si>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</si>
  <si>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</si>
  <si>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</si>
  <si>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</si>
  <si>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</si>
  <si>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</si>
  <si>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</si>
  <si>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</si>
  <si>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START_FILL</t>
  </si>
  <si>
    <t xml:space="preserve">тариф с НДС организаций-плательщиков НДС</t>
  </si>
  <si>
    <t xml:space="preserve">тариф организаций не являющихся плательщиками НДС</t>
  </si>
  <si>
    <t>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</si>
  <si>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</si>
  <si>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</si>
  <si>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</si>
  <si>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</si>
  <si>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</si>
  <si>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</si>
  <si>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</si>
  <si>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</si>
  <si>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</si>
  <si>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</si>
  <si>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</si>
  <si>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</si>
  <si>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</si>
  <si>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</si>
  <si>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</si>
  <si>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 xml:space="preserve">Забайкальский край</t>
  </si>
  <si>
    <t>17</t>
  </si>
  <si>
    <t xml:space="preserve">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</si>
  <si>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</si>
  <si>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</si>
  <si>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</si>
  <si>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</si>
  <si>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</si>
  <si>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</si>
  <si>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</si>
  <si>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</si>
  <si>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</si>
  <si>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</si>
  <si>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</si>
  <si>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 xml:space="preserve">Запорожская область</t>
  </si>
  <si>
    <t>18</t>
  </si>
  <si>
    <t xml:space="preserve">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</si>
  <si>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</si>
  <si>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</si>
  <si>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</si>
  <si>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</si>
  <si>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</si>
  <si>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</si>
  <si>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</si>
  <si>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Водоотведение</t>
  </si>
  <si>
    <t xml:space="preserve">Захоронение твердых коммунальных отходов</t>
  </si>
  <si>
    <t xml:space="preserve">Ивановская область</t>
  </si>
  <si>
    <t>19</t>
  </si>
  <si>
    <t xml:space="preserve">сбыт тепловой энергии и теплоносителя</t>
  </si>
  <si>
    <t xml:space="preserve">уменьшение удельных затрат (повышение КПД)</t>
  </si>
  <si>
    <t>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</si>
  <si>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</si>
  <si>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</si>
  <si>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Транспортировка</t>
  </si>
  <si>
    <t xml:space="preserve">Обезвреживание твердых коммунальных отходов</t>
  </si>
  <si>
    <t xml:space="preserve">Иркутская область</t>
  </si>
  <si>
    <t>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</si>
  <si>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</si>
  <si>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</si>
  <si>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</si>
  <si>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</si>
  <si>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</si>
  <si>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</si>
  <si>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</si>
  <si>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</si>
  <si>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</si>
  <si>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</si>
  <si>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</si>
  <si>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керосин</t>
  </si>
  <si>
    <t xml:space="preserve">Производство. Теплоноситель</t>
  </si>
  <si>
    <t xml:space="preserve">Транспортировка. Питьевая вода</t>
  </si>
  <si>
    <t xml:space="preserve">Калининградская область</t>
  </si>
  <si>
    <t>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</si>
  <si>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</si>
  <si>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</si>
  <si>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</si>
  <si>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</si>
  <si>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</si>
  <si>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</si>
  <si>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</si>
  <si>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</si>
  <si>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</si>
  <si>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</si>
  <si>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</si>
  <si>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</si>
  <si>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</si>
  <si>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</si>
  <si>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</si>
  <si>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</si>
  <si>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</si>
  <si>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</si>
  <si>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</si>
  <si>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</si>
  <si>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CROSSES</t>
  </si>
  <si>
    <t>24</t>
  </si>
  <si>
    <t xml:space="preserve">электроэнергия (СН2)</t>
  </si>
  <si>
    <t xml:space="preserve">Сбыт. Теплоноситель</t>
  </si>
  <si>
    <t xml:space="preserve">Кемеровская область</t>
  </si>
  <si>
    <t>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</si>
  <si>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</si>
  <si>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</si>
  <si>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</si>
  <si>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</si>
  <si>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26</t>
  </si>
  <si>
    <t>PT_GROUP_CONSUMER_LIST</t>
  </si>
  <si>
    <t>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</si>
  <si>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</si>
  <si>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</si>
  <si>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</si>
  <si>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Организация</t>
  </si>
  <si>
    <t xml:space="preserve">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</si>
  <si>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</si>
  <si>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</si>
  <si>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</si>
  <si>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</si>
  <si>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29</t>
  </si>
  <si>
    <t>население</t>
  </si>
  <si>
    <t xml:space="preserve">  Иные бюджетные средства</t>
  </si>
  <si>
    <t xml:space="preserve">Курганская область</t>
  </si>
  <si>
    <t xml:space="preserve">Виды деятельности</t>
  </si>
  <si>
    <t>https://appsrv.regportal-tariff.ru/procwsxls/</t>
  </si>
  <si>
    <t>30</t>
  </si>
  <si>
    <t xml:space="preserve">Курская область</t>
  </si>
  <si>
    <t>31</t>
  </si>
  <si>
    <t xml:space="preserve">Ленинградская область</t>
  </si>
  <si>
    <t>32</t>
  </si>
  <si>
    <t xml:space="preserve">Липецкая область</t>
  </si>
  <si>
    <t>33</t>
  </si>
  <si>
    <t>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</si>
  <si>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</si>
  <si>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</si>
  <si>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</si>
  <si>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</si>
  <si>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</si>
  <si>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</si>
  <si>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теплоснабжения</t>
  </si>
  <si>
    <t>теплоснабжение</t>
  </si>
  <si>
    <t>35</t>
  </si>
  <si>
    <t xml:space="preserve">Московская область</t>
  </si>
  <si>
    <t xml:space="preserve">холодного водоснабжения</t>
  </si>
  <si>
    <t xml:space="preserve">холодное водоснабжение</t>
  </si>
  <si>
    <t>36</t>
  </si>
  <si>
    <t>HEAT_FIN_SRC_VLD_LIST</t>
  </si>
  <si>
    <t>VSNA_FIN_SRC_VLD_LIST</t>
  </si>
  <si>
    <t>VOTV_FIN_SRC_VLD_LIST</t>
  </si>
  <si>
    <t>OTKO_FIN_SRC_VLD_LIST</t>
  </si>
  <si>
    <t xml:space="preserve">Мурманская область</t>
  </si>
  <si>
    <t>водоотведения</t>
  </si>
  <si>
    <t>водоотведение</t>
  </si>
  <si>
    <t>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</si>
  <si>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</si>
  <si>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</si>
  <si>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</si>
  <si>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</si>
  <si>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</si>
  <si>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</si>
  <si>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</si>
  <si>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</si>
  <si>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</si>
  <si>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TKO</t>
  </si>
  <si>
    <t>39</t>
  </si>
  <si>
    <t>PT_TN_LIST</t>
  </si>
  <si>
    <t xml:space="preserve">Прочие амортизационные отчисления</t>
  </si>
  <si>
    <t xml:space="preserve">Новгородская область</t>
  </si>
  <si>
    <t>40</t>
  </si>
  <si>
    <t xml:space="preserve">Займы, предоставленные Фондом ЖКХ за счет средств ФНБ</t>
  </si>
  <si>
    <t xml:space="preserve">Новосибирская область</t>
  </si>
  <si>
    <t>41</t>
  </si>
  <si>
    <t xml:space="preserve">За счет платы за технологическое присоединение</t>
  </si>
  <si>
    <t xml:space="preserve">Прочие займы</t>
  </si>
  <si>
    <t xml:space="preserve">Омская область</t>
  </si>
  <si>
    <t>PeriodIsEmpty</t>
  </si>
  <si>
    <t>NameTemplatesInTitle</t>
  </si>
  <si>
    <t>NameTemplatesInListMO</t>
  </si>
  <si>
    <t>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</si>
  <si>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</si>
  <si>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</si>
  <si>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</si>
  <si>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TEMPLATE_GROUP</t>
  </si>
  <si>
    <t>Q</t>
  </si>
  <si>
    <t>CodeTemplate</t>
  </si>
  <si>
    <t>StartDate</t>
  </si>
  <si>
    <t>EndDate</t>
  </si>
  <si>
    <t>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</si>
  <si>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</si>
  <si>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</si>
  <si>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</si>
  <si>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O</t>
  </si>
  <si>
    <t>44</t>
  </si>
  <si>
    <t xml:space="preserve">Бюджет муниципального образования</t>
  </si>
  <si>
    <t xml:space="preserve">Пензенская область</t>
  </si>
  <si>
    <t>45</t>
  </si>
  <si>
    <t>Лизинг</t>
  </si>
  <si>
    <t xml:space="preserve">Пермский край</t>
  </si>
  <si>
    <t>BALANCE</t>
  </si>
  <si>
    <t>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</si>
  <si>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</si>
  <si>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</si>
  <si>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</si>
  <si>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 xml:space="preserve">Приморский край</t>
  </si>
  <si>
    <t>TERMS</t>
  </si>
  <si>
    <t>T</t>
  </si>
  <si>
    <t>47</t>
  </si>
  <si>
    <t xml:space="preserve">Псковская область</t>
  </si>
  <si>
    <t>INVEST</t>
  </si>
  <si>
    <t>48</t>
  </si>
  <si>
    <t xml:space="preserve">Республика Адыгея</t>
  </si>
  <si>
    <t>REQUEST</t>
  </si>
  <si>
    <t>R</t>
  </si>
  <si>
    <t>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</si>
  <si>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</si>
  <si>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</si>
  <si>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PRICE</t>
  </si>
  <si>
    <t>P</t>
  </si>
  <si>
    <t>50</t>
  </si>
  <si>
    <t xml:space="preserve">Республика Башкортостан</t>
  </si>
  <si>
    <t>ROIV</t>
  </si>
  <si>
    <t xml:space="preserve">Показатели, подлежащие раскрытию органами регулирования</t>
  </si>
  <si>
    <t>51</t>
  </si>
  <si>
    <t xml:space="preserve">Республика Бурятия</t>
  </si>
  <si>
    <t>52</t>
  </si>
  <si>
    <t>PT_NETS_LIST</t>
  </si>
  <si>
    <t xml:space="preserve">Республика Дагестан</t>
  </si>
  <si>
    <t>53</t>
  </si>
  <si>
    <t xml:space="preserve">Республика Ингушетия</t>
  </si>
  <si>
    <t>TERRITORY_ID</t>
  </si>
  <si>
    <t xml:space="preserve">начинать только с 2, остальное по умолчанию</t>
  </si>
  <si>
    <t>54</t>
  </si>
  <si>
    <t xml:space="preserve">Республика Калмыкия</t>
  </si>
  <si>
    <t>DIFFERENTIATION_ID</t>
  </si>
  <si>
    <t>55</t>
  </si>
  <si>
    <t xml:space="preserve">Республика Карелия</t>
  </si>
  <si>
    <t>IP_ID</t>
  </si>
  <si>
    <t>56</t>
  </si>
  <si>
    <t xml:space="preserve">Республика Коми</t>
  </si>
  <si>
    <t xml:space="preserve">начинать только с 30, остальное по умолчанию</t>
  </si>
  <si>
    <t>57</t>
  </si>
  <si>
    <t>PT_DIAMETERS_LIST</t>
  </si>
  <si>
    <t xml:space="preserve">Республика Крым</t>
  </si>
  <si>
    <t>VDET_ID</t>
  </si>
  <si>
    <t>58</t>
  </si>
  <si>
    <t xml:space="preserve">Республика Марий Эл</t>
  </si>
  <si>
    <t>NTAR_ID</t>
  </si>
  <si>
    <t>59</t>
  </si>
  <si>
    <t xml:space="preserve">Республика Мордовия</t>
  </si>
  <si>
    <t xml:space="preserve">Республика Саха (Якутия)</t>
  </si>
  <si>
    <t>CS_ID</t>
  </si>
  <si>
    <t xml:space="preserve">Республика Северная Осетия-Алания</t>
  </si>
  <si>
    <t>IST_TE_ID</t>
  </si>
  <si>
    <t xml:space="preserve">Республика Татарстан</t>
  </si>
  <si>
    <t xml:space="preserve">Республика Тыва</t>
  </si>
  <si>
    <t>PT_LOAD_LIST</t>
  </si>
  <si>
    <t xml:space="preserve">Республика Хакасия</t>
  </si>
  <si>
    <t xml:space="preserve">Ростовская область</t>
  </si>
  <si>
    <t>HEAT_IP_EVENT_GROUP_LIST</t>
  </si>
  <si>
    <t>VSNA_IP_EVENT_GROUP_LIST</t>
  </si>
  <si>
    <t>VOTV_IP_EVENT_GROUP_LIST</t>
  </si>
  <si>
    <t>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</si>
  <si>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</si>
  <si>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</si>
  <si>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</si>
  <si>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</si>
  <si>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</si>
  <si>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</si>
  <si>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</si>
  <si>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</si>
  <si>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</si>
  <si>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</si>
  <si>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</si>
  <si>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</si>
  <si>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</si>
  <si>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</si>
  <si>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</si>
  <si>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</si>
  <si>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</si>
  <si>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</si>
  <si>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</si>
  <si>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</si>
  <si>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</si>
  <si>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</si>
  <si>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</si>
  <si>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</si>
  <si>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</si>
  <si>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</si>
  <si>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</si>
  <si>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</si>
  <si>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</si>
  <si>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</si>
  <si>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</si>
  <si>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</si>
  <si>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</si>
  <si>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</si>
  <si>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</si>
  <si>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</si>
  <si>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</si>
  <si>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</si>
  <si>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HEAT_IP_EVENT_SUBGROUP_1_LIST</t>
  </si>
  <si>
    <t>VSNA_IP_EVENT_SUBGROUP_1_LIST</t>
  </si>
  <si>
    <t>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</si>
  <si>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</si>
  <si>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</si>
  <si>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</si>
  <si>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</si>
  <si>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</si>
  <si>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</si>
  <si>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</si>
  <si>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</si>
  <si>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</si>
  <si>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</si>
  <si>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</si>
  <si>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</si>
  <si>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</si>
  <si>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</si>
  <si>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</si>
  <si>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</si>
  <si>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</si>
  <si>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TYPE_TKO_LIST</t>
  </si>
  <si>
    <t xml:space="preserve">Херсонская область</t>
  </si>
  <si>
    <t>несортированные</t>
  </si>
  <si>
    <t xml:space="preserve">Челябинская область</t>
  </si>
  <si>
    <t>сортированные</t>
  </si>
  <si>
    <t>HEAT_IP_EVENT_SUBGROUP_3_LIST</t>
  </si>
  <si>
    <t>VSNA_IP_EVENT_SUBGROUP_3_LIST</t>
  </si>
  <si>
    <t>VOTV_IP_EVENT_SUBGROUP_3_LIST</t>
  </si>
  <si>
    <t xml:space="preserve">Чеченская республика</t>
  </si>
  <si>
    <t>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</si>
  <si>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</si>
  <si>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</si>
  <si>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</si>
  <si>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</si>
  <si>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</si>
  <si>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</si>
  <si>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</si>
  <si>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</si>
  <si>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CLASS_TKO_LIST</t>
  </si>
  <si>
    <t xml:space="preserve">Ямало-Ненецкий автономный округ</t>
  </si>
  <si>
    <t xml:space="preserve">Ярославская область</t>
  </si>
  <si>
    <t>HEAT_IP_EVENT_SUBGROUP_5_LIST</t>
  </si>
  <si>
    <t>VSNA_IP_EVENT_SUBGROUP_5_LIST</t>
  </si>
  <si>
    <t>VOTV_IP_EVENT_SUBGROUP_5_LIST</t>
  </si>
  <si>
    <t>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</si>
  <si>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</si>
  <si>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</si>
  <si>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</si>
  <si>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</si>
  <si>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</si>
  <si>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</si>
  <si>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</si>
  <si>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</si>
  <si>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</si>
  <si>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</si>
  <si>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</si>
  <si>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</si>
  <si>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</si>
  <si>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</si>
  <si>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</si>
  <si>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</si>
  <si>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</si>
  <si>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</si>
  <si>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</si>
  <si>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</si>
  <si>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</si>
  <si>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</si>
  <si>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</si>
  <si>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</si>
  <si>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</si>
  <si>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</si>
  <si>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</si>
  <si>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</si>
  <si>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</si>
  <si>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</si>
  <si>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</si>
  <si>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</si>
  <si>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</si>
  <si>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</si>
  <si>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 xml:space="preserve">размещение отходов</t>
  </si>
  <si>
    <t xml:space="preserve">энергетическая утилизация</t>
  </si>
  <si>
    <t>WARM_IP_EVENT_TYPE_LIST</t>
  </si>
  <si>
    <t>VSNA_IP_EVENT_TYPE_LIST</t>
  </si>
  <si>
    <t>VOTV_IP_EVENT_TYPE_LIST</t>
  </si>
  <si>
    <t>OTKO_IP_EVENT_TYPE_LIST</t>
  </si>
  <si>
    <t xml:space="preserve">Производство тепловой энергии</t>
  </si>
  <si>
    <t>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</si>
  <si>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</si>
  <si>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</si>
  <si>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HEAT_PT_SCHEME</t>
  </si>
  <si>
    <t xml:space="preserve">Имя листа</t>
  </si>
  <si>
    <t xml:space="preserve">Наименование, номер формы</t>
  </si>
  <si>
    <t>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</si>
  <si>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</si>
  <si>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</si>
  <si>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</si>
  <si>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</si>
  <si>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</si>
  <si>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</si>
  <si>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</si>
  <si>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</si>
  <si>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</si>
  <si>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</si>
  <si>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</si>
  <si>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</si>
  <si>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</si>
  <si>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</si>
  <si>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</si>
  <si>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</si>
  <si>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</si>
  <si>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</si>
  <si>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</si>
  <si>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</si>
  <si>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</si>
  <si>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</si>
  <si>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</si>
  <si>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</si>
  <si>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</si>
  <si>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</si>
  <si>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</si>
  <si>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</si>
  <si>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</si>
  <si>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</si>
  <si>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</si>
  <si>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</si>
  <si>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</si>
  <si>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</si>
  <si>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</si>
  <si>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</si>
  <si>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</si>
  <si>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</si>
  <si>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</si>
  <si>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</si>
  <si>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</si>
  <si>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</si>
  <si>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</si>
  <si>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</si>
  <si>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</si>
  <si>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</si>
  <si>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</si>
  <si>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</si>
  <si>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</si>
  <si>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</si>
  <si>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</si>
  <si>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</si>
  <si>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</si>
  <si>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</si>
  <si>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</si>
  <si>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</si>
  <si>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</si>
  <si>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</si>
  <si>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</si>
  <si>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</si>
  <si>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</si>
  <si>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</si>
  <si>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</si>
  <si>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</si>
  <si>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</si>
  <si>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</si>
  <si>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</si>
  <si>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</si>
  <si>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</si>
  <si>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</si>
  <si>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</si>
  <si>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</si>
  <si>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</si>
  <si>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</si>
  <si>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</si>
  <si>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</si>
  <si>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</si>
  <si>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</si>
  <si>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</si>
  <si>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</si>
  <si>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</si>
  <si>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</si>
  <si>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</si>
  <si>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</si>
  <si>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</si>
  <si>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</si>
  <si>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</si>
  <si>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</si>
  <si>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</si>
  <si>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</si>
  <si>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</si>
  <si>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</si>
  <si>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</si>
  <si>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</si>
  <si>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</si>
  <si>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</si>
  <si>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</si>
  <si>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</si>
  <si>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</si>
  <si>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</si>
  <si>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</si>
  <si>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</si>
  <si>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</si>
  <si>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</si>
  <si>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</si>
  <si>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</si>
  <si>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</si>
  <si>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</si>
  <si>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</si>
  <si>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</si>
  <si>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</si>
  <si>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</si>
  <si>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</si>
  <si>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</si>
  <si>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2.5.1</t>
  </si>
  <si>
    <t xml:space="preserve">Средневзвешенная стоимость 1 кВт.ч (с учетом мощности)</t>
  </si>
  <si>
    <t>6.2</t>
  </si>
  <si>
    <t>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</si>
  <si>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</si>
  <si>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</si>
  <si>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</si>
  <si>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</si>
  <si>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</si>
  <si>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9.1</t>
  </si>
  <si>
    <t>2.6.1</t>
  </si>
  <si>
    <t xml:space="preserve">Расходы на оплату труда основного производственного персонала</t>
  </si>
  <si>
    <t>9.2</t>
  </si>
  <si>
    <t>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</si>
  <si>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</si>
  <si>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</si>
  <si>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</si>
  <si>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</si>
  <si>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10.1</t>
  </si>
  <si>
    <t>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</si>
  <si>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</si>
  <si>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</si>
  <si>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10.2</t>
  </si>
  <si>
    <t>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</si>
  <si>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</si>
  <si>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</si>
  <si>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11.1</t>
  </si>
  <si>
    <t>2.8.1</t>
  </si>
  <si>
    <t xml:space="preserve">Расходы на амортизацию основных средств</t>
  </si>
  <si>
    <t>11.2</t>
  </si>
  <si>
    <t>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</si>
  <si>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</si>
  <si>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</si>
  <si>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</si>
  <si>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</si>
  <si>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</si>
  <si>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2.10</t>
  </si>
  <si>
    <t xml:space="preserve">Общепроизводственные расходы, в том числе:</t>
  </si>
  <si>
    <t xml:space="preserve">Указывается общая сумма общепроизводственных расходов.</t>
  </si>
  <si>
    <t>13.1</t>
  </si>
  <si>
    <t>2.10.1</t>
  </si>
  <si>
    <t xml:space="preserve">Расходы на текущий ремонт</t>
  </si>
  <si>
    <t xml:space="preserve">Указываются расходы на текущий ремонт, отнесенные к общепроизводственным расходам.</t>
  </si>
  <si>
    <t>13.2</t>
  </si>
  <si>
    <t>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</si>
  <si>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</si>
  <si>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</si>
  <si>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2.11</t>
  </si>
  <si>
    <t xml:space="preserve">Общехозяйственные расходы, в том числе:</t>
  </si>
  <si>
    <t xml:space="preserve">Указывается общая сумма общехозяйственных расходов.</t>
  </si>
  <si>
    <t>14.1</t>
  </si>
  <si>
    <t>2.11.1</t>
  </si>
  <si>
    <t>2.9.1</t>
  </si>
  <si>
    <t xml:space="preserve">Указываются расходы на текущий ремонт, отнесенные к общехозяйственным расходам.</t>
  </si>
  <si>
    <t>14.2</t>
  </si>
  <si>
    <t>2.11.2</t>
  </si>
  <si>
    <t>2.9.2</t>
  </si>
  <si>
    <t xml:space="preserve">Указываются расходы на капитальный ремонт, отнесенные к общехозяйственным расходам.</t>
  </si>
  <si>
    <t>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</si>
  <si>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</si>
  <si>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</si>
  <si>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</si>
  <si>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</si>
  <si>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</si>
  <si>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</si>
  <si>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</si>
  <si>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</si>
  <si>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</si>
  <si>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</si>
  <si>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</si>
  <si>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</si>
  <si>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</si>
  <si>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</si>
  <si>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</si>
  <si>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</si>
  <si>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</si>
  <si>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</si>
  <si>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</si>
  <si>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</si>
  <si>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</si>
  <si>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</si>
  <si>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</si>
  <si>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</si>
  <si>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</si>
  <si>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</si>
  <si>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</si>
  <si>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</si>
  <si>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</si>
  <si>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</si>
  <si>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</si>
  <si>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</si>
  <si>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</si>
  <si>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</si>
  <si>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</si>
  <si>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</si>
  <si>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</si>
  <si>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</si>
  <si>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</si>
  <si>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</si>
  <si>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</si>
  <si>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</si>
  <si>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 xml:space="preserve">Объём поднятой воды</t>
  </si>
  <si>
    <t>з</t>
  </si>
  <si>
    <t xml:space="preserve">Объём покупной воды</t>
  </si>
  <si>
    <t>и</t>
  </si>
  <si>
    <t xml:space="preserve">Объём воды, пропущенной через очистные сооружения</t>
  </si>
  <si>
    <t>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</si>
  <si>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</si>
  <si>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</si>
  <si>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</si>
  <si>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</si>
  <si>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10.2.1</t>
  </si>
  <si>
    <t xml:space="preserve">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</si>
  <si>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</si>
  <si>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</si>
  <si>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</si>
  <si>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</si>
  <si>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</si>
  <si>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</si>
  <si>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</si>
  <si>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</si>
  <si>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</si>
  <si>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</si>
  <si>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</si>
  <si>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</si>
  <si>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</si>
  <si>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</si>
  <si>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</si>
  <si>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</si>
  <si>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</si>
  <si>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</si>
  <si>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</si>
  <si>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</si>
  <si>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</si>
  <si>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</si>
  <si>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</si>
  <si>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</si>
  <si>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</si>
  <si>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</si>
  <si>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10.3</t>
  </si>
  <si>
    <t xml:space="preserve">По нормативам потребления коммунальных услуг и нормативам потребления коммунальных ресурсов</t>
  </si>
  <si>
    <t>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</si>
  <si>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</si>
  <si>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н</t>
  </si>
  <si>
    <t xml:space="preserve">Фактический объем потерь при передаче тепловой энергии</t>
  </si>
  <si>
    <t>о</t>
  </si>
  <si>
    <t xml:space="preserve">Среднесписочная численность основного производственного персонала</t>
  </si>
  <si>
    <t>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</si>
  <si>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</si>
  <si>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</si>
  <si>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</si>
  <si>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</si>
  <si>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</si>
  <si>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</si>
  <si>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</si>
  <si>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</si>
  <si>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</si>
  <si>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</si>
  <si>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</si>
  <si>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</si>
  <si>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</si>
  <si>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</si>
  <si>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</si>
  <si>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</si>
  <si>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</si>
  <si>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</si>
  <si>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</si>
  <si>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</si>
  <si>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 xml:space="preserve">Информация о показателях физического износа объектов теплоснабжения</t>
  </si>
  <si>
    <t>19.2</t>
  </si>
  <si>
    <t xml:space="preserve">Информация о показателях энергетической эффективности объектов теплоснабжения</t>
  </si>
  <si>
    <t>27/44</t>
  </si>
  <si>
    <t>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</si>
  <si>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</si>
  <si>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</si>
  <si>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</si>
  <si>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</si>
  <si>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</si>
  <si>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</si>
  <si>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</si>
  <si>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</si>
  <si>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</si>
  <si>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</si>
  <si>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</si>
  <si>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</si>
  <si>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</si>
  <si>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</si>
  <si>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</si>
  <si>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</si>
  <si>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</si>
  <si>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</si>
  <si>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 xml:space="preserve">Форма 4.2.5 Информация о плате за подключение к системе теплоснабжения в индивидуальном порядке</t>
    </r>
    <r>
      <rPr>
        <vertAlign val="superscript"/>
        <sz val="10"/>
        <rFont val="Tahoma"/>
      </rPr>
      <t>1</t>
    </r>
  </si>
  <si>
    <t>NDS</t>
  </si>
  <si>
    <t>woNDS</t>
  </si>
  <si>
    <t>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</si>
  <si>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</si>
  <si>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</si>
  <si>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</si>
  <si>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</si>
  <si>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</si>
  <si>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</si>
  <si>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</si>
  <si>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</si>
  <si>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</si>
  <si>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</si>
  <si>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</si>
  <si>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</si>
  <si>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</si>
  <si>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</si>
  <si>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</si>
  <si>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</si>
  <si>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</si>
  <si>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</si>
  <si>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</si>
  <si>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</si>
  <si>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</si>
  <si>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</si>
  <si>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 xml:space="preserve">АО "Агрокомбинат "Тепличный"</t>
  </si>
  <si>
    <t>2312036895</t>
  </si>
  <si>
    <t>231201001</t>
  </si>
  <si>
    <t xml:space="preserve">03-02-2003 00:00:00</t>
  </si>
  <si>
    <t>26538211</t>
  </si>
  <si>
    <t xml:space="preserve">АО "Александрия"</t>
  </si>
  <si>
    <t>2309009595</t>
  </si>
  <si>
    <t>230901001</t>
  </si>
  <si>
    <t>26468799</t>
  </si>
  <si>
    <t xml:space="preserve">АО "Березанское ПЖКХ"</t>
  </si>
  <si>
    <t>2328017200</t>
  </si>
  <si>
    <t>232801001</t>
  </si>
  <si>
    <t xml:space="preserve">12-05-2006 00:00:00</t>
  </si>
  <si>
    <t>27581637</t>
  </si>
  <si>
    <t xml:space="preserve">АО "Виктория-Агро"</t>
  </si>
  <si>
    <t>2334014285</t>
  </si>
  <si>
    <t>233401001</t>
  </si>
  <si>
    <t xml:space="preserve">13-03-1998 00:00:00</t>
  </si>
  <si>
    <t>28463019</t>
  </si>
  <si>
    <t xml:space="preserve">АО "Волна Резорт энд СПА"</t>
  </si>
  <si>
    <t>2317011051</t>
  </si>
  <si>
    <t>231701001</t>
  </si>
  <si>
    <t xml:space="preserve">28-12-1993 00:00:00</t>
  </si>
  <si>
    <t>28796046</t>
  </si>
  <si>
    <t xml:space="preserve">АО "ГТ Энерго"</t>
  </si>
  <si>
    <t>7703806647</t>
  </si>
  <si>
    <t>772801001</t>
  </si>
  <si>
    <t>30335229</t>
  </si>
  <si>
    <t xml:space="preserve">АО "ГУ ЖКХ"</t>
  </si>
  <si>
    <t>5116000922</t>
  </si>
  <si>
    <t>770401001</t>
  </si>
  <si>
    <t>26527846</t>
  </si>
  <si>
    <t xml:space="preserve">АО "Гулькевичирайгаз"</t>
  </si>
  <si>
    <t>2329004965</t>
  </si>
  <si>
    <t>232901001</t>
  </si>
  <si>
    <t>28146860</t>
  </si>
  <si>
    <t xml:space="preserve">АО "Интер РАО - Электрогенерация"</t>
  </si>
  <si>
    <t>7704784450</t>
  </si>
  <si>
    <t>26355019</t>
  </si>
  <si>
    <t xml:space="preserve">АО "Компания Импульс "</t>
  </si>
  <si>
    <t>2311015116</t>
  </si>
  <si>
    <t>231001001</t>
  </si>
  <si>
    <t>26383230</t>
  </si>
  <si>
    <t xml:space="preserve">АО "Краснодаргоргаз"</t>
  </si>
  <si>
    <t>2309029802</t>
  </si>
  <si>
    <t>230750001</t>
  </si>
  <si>
    <t>26355053</t>
  </si>
  <si>
    <t xml:space="preserve">АО "Краснодарский приборный завод "Каскад"</t>
  </si>
  <si>
    <t>2311085593</t>
  </si>
  <si>
    <t>231101001</t>
  </si>
  <si>
    <t>26518197</t>
  </si>
  <si>
    <t xml:space="preserve">АО "Краснодартеплосеть"</t>
  </si>
  <si>
    <t>2312122495</t>
  </si>
  <si>
    <t>230801001</t>
  </si>
  <si>
    <t>26355045</t>
  </si>
  <si>
    <t xml:space="preserve">АО "Лотос"</t>
  </si>
  <si>
    <t>2310111522</t>
  </si>
  <si>
    <t>26355062</t>
  </si>
  <si>
    <t xml:space="preserve">АО "Международный Аэропорт "Краснодар" АО "Макр"</t>
  </si>
  <si>
    <t>2312126429</t>
  </si>
  <si>
    <t xml:space="preserve">03-04-2006 00:00:00</t>
  </si>
  <si>
    <t>28061874</t>
  </si>
  <si>
    <t xml:space="preserve">АО "Международный Аэропорт Сочи" АО "МАС"</t>
  </si>
  <si>
    <t>2317044843</t>
  </si>
  <si>
    <t>26792763</t>
  </si>
  <si>
    <t xml:space="preserve">АО "Мобильные ГТЭС"</t>
  </si>
  <si>
    <t>7706627050</t>
  </si>
  <si>
    <t>231532001</t>
  </si>
  <si>
    <t>26528286</t>
  </si>
  <si>
    <t xml:space="preserve">АО "Мясокомбинат "Тихорецкий"</t>
  </si>
  <si>
    <t>2321003688</t>
  </si>
  <si>
    <t>232101001</t>
  </si>
  <si>
    <t xml:space="preserve">23-06-2010 00:00:00</t>
  </si>
  <si>
    <t>26319795</t>
  </si>
  <si>
    <t xml:space="preserve">АО "Нефтегазтехнология-Энергия"</t>
  </si>
  <si>
    <t>2349017673</t>
  </si>
  <si>
    <t>234901001</t>
  </si>
  <si>
    <t>26355079</t>
  </si>
  <si>
    <t xml:space="preserve">АО "Новорослесэкспорт"</t>
  </si>
  <si>
    <t>2315014794</t>
  </si>
  <si>
    <t>231501001</t>
  </si>
  <si>
    <t>26318583</t>
  </si>
  <si>
    <t xml:space="preserve">АО "Новороссийский судоремонтный завод"</t>
  </si>
  <si>
    <t>2315007476</t>
  </si>
  <si>
    <t>26491555</t>
  </si>
  <si>
    <t xml:space="preserve">АО "Пластформ"</t>
  </si>
  <si>
    <t>2302012743</t>
  </si>
  <si>
    <t>230201001</t>
  </si>
  <si>
    <t>31280800</t>
  </si>
  <si>
    <t xml:space="preserve">АО "Племенной форелеводческий завод "Адлер"</t>
  </si>
  <si>
    <t>2367006890</t>
  </si>
  <si>
    <t>236701001</t>
  </si>
  <si>
    <t xml:space="preserve">14-01-2019 00:00:00</t>
  </si>
  <si>
    <t>26527827</t>
  </si>
  <si>
    <t xml:space="preserve">АО "Племзавод Гулькевичский"</t>
  </si>
  <si>
    <t>2329003841</t>
  </si>
  <si>
    <t xml:space="preserve">20-06-2002 00:00:00</t>
  </si>
  <si>
    <t>26355156</t>
  </si>
  <si>
    <t xml:space="preserve">АО "Предприятие "Усть-Лабинскрайгаз"</t>
  </si>
  <si>
    <t>2356036532</t>
  </si>
  <si>
    <t>235601001</t>
  </si>
  <si>
    <t>26355077</t>
  </si>
  <si>
    <t xml:space="preserve">АО "Прибой"</t>
  </si>
  <si>
    <t>2315012170</t>
  </si>
  <si>
    <t>26318579</t>
  </si>
  <si>
    <t xml:space="preserve">АО "РАМО-М" (филиал "КВЭП" АО "РАМО-М")</t>
  </si>
  <si>
    <t>7719113976</t>
  </si>
  <si>
    <t>231143001</t>
  </si>
  <si>
    <t>28795169</t>
  </si>
  <si>
    <t xml:space="preserve">АО "РТСК"</t>
  </si>
  <si>
    <t>2310159122</t>
  </si>
  <si>
    <t>30837540</t>
  </si>
  <si>
    <t xml:space="preserve">АО "Санаторий "Кудепста"</t>
  </si>
  <si>
    <t>2319004652</t>
  </si>
  <si>
    <t>231901001</t>
  </si>
  <si>
    <t xml:space="preserve">03-03-1993 00:00:00</t>
  </si>
  <si>
    <t>26355155</t>
  </si>
  <si>
    <t xml:space="preserve">АО "Сахарный завод "Свобода"</t>
  </si>
  <si>
    <t>2356030749</t>
  </si>
  <si>
    <t>30923635</t>
  </si>
  <si>
    <t xml:space="preserve">АО "Сочинский хлебокомбинат"</t>
  </si>
  <si>
    <t>2320145827</t>
  </si>
  <si>
    <t>232001001</t>
  </si>
  <si>
    <t>28830246</t>
  </si>
  <si>
    <t xml:space="preserve">АО "ТНТ</t>
  </si>
  <si>
    <t>2315143060</t>
  </si>
  <si>
    <t>168150001</t>
  </si>
  <si>
    <t xml:space="preserve">04-04-2008 00:00:00</t>
  </si>
  <si>
    <t>30990775</t>
  </si>
  <si>
    <t xml:space="preserve">АО "Тандер"</t>
  </si>
  <si>
    <t>2310031475</t>
  </si>
  <si>
    <t>26508107</t>
  </si>
  <si>
    <t xml:space="preserve">АО "Тепловые сети"</t>
  </si>
  <si>
    <t>2346013656</t>
  </si>
  <si>
    <t>234601001</t>
  </si>
  <si>
    <t>26528443</t>
  </si>
  <si>
    <t xml:space="preserve">АО "Теплоэнерго"</t>
  </si>
  <si>
    <t>2301080564</t>
  </si>
  <si>
    <t>230101001</t>
  </si>
  <si>
    <t>26491445</t>
  </si>
  <si>
    <t xml:space="preserve">АО "Туапсинский морской торговый порт"</t>
  </si>
  <si>
    <t>2322001997</t>
  </si>
  <si>
    <t>236501001</t>
  </si>
  <si>
    <t>31442033</t>
  </si>
  <si>
    <t xml:space="preserve">АО "Универсал"</t>
  </si>
  <si>
    <t>2320200972</t>
  </si>
  <si>
    <t xml:space="preserve">09-09-2020 00:00:00</t>
  </si>
  <si>
    <t>26318587</t>
  </si>
  <si>
    <t xml:space="preserve">АО "Успенский сахарник"</t>
  </si>
  <si>
    <t>2357005329</t>
  </si>
  <si>
    <t>235701001</t>
  </si>
  <si>
    <t>26516100</t>
  </si>
  <si>
    <t xml:space="preserve">АО "Усть-Лабинсктеплоэнерго"</t>
  </si>
  <si>
    <t>2356038360</t>
  </si>
  <si>
    <t>26472903</t>
  </si>
  <si>
    <t xml:space="preserve">АО "Черномортранснефть" ПК "Шесхарис"</t>
  </si>
  <si>
    <t>2315072242</t>
  </si>
  <si>
    <t>27660539</t>
  </si>
  <si>
    <t xml:space="preserve">АО «Интер РАО-Электрогенерация» филиал «Джубгинская ТЭС»</t>
  </si>
  <si>
    <t>236543001</t>
  </si>
  <si>
    <t>26473871</t>
  </si>
  <si>
    <t xml:space="preserve">АО АПСК "Гулькевичский"</t>
  </si>
  <si>
    <t>2329007878</t>
  </si>
  <si>
    <t>27897001</t>
  </si>
  <si>
    <t xml:space="preserve">АО МПМК "Краснодарская - 1"</t>
  </si>
  <si>
    <t>2309001518</t>
  </si>
  <si>
    <t xml:space="preserve">18-02-1993 00:00:00</t>
  </si>
  <si>
    <t>26355054</t>
  </si>
  <si>
    <t xml:space="preserve">АО СЗ «ОБД»</t>
  </si>
  <si>
    <t>2312016730</t>
  </si>
  <si>
    <t>26468785</t>
  </si>
  <si>
    <t xml:space="preserve">АО фирма "Агрокомплекс"</t>
  </si>
  <si>
    <t>2328000083</t>
  </si>
  <si>
    <t xml:space="preserve">14-10-2002 00:00:00</t>
  </si>
  <si>
    <t>31625572</t>
  </si>
  <si>
    <t xml:space="preserve">Апшеронский филиал ООО "ТТР"</t>
  </si>
  <si>
    <t>2310221733</t>
  </si>
  <si>
    <t xml:space="preserve">18-10-2022 00:00:00</t>
  </si>
  <si>
    <t>31689847</t>
  </si>
  <si>
    <t>236843001</t>
  </si>
  <si>
    <t xml:space="preserve">28-10-2020 00:00:00</t>
  </si>
  <si>
    <t>30876376</t>
  </si>
  <si>
    <t xml:space="preserve">Армавирский Филиал ООО "Газпром теплоэнерго Краснодар"</t>
  </si>
  <si>
    <t>2308206128</t>
  </si>
  <si>
    <t>237243001</t>
  </si>
  <si>
    <t xml:space="preserve">30-11-2016 00:00:00</t>
  </si>
  <si>
    <t>26355104</t>
  </si>
  <si>
    <t xml:space="preserve">Брюховецкий филиал ЗАО «СК «Ленинградский»</t>
  </si>
  <si>
    <t>2341015890</t>
  </si>
  <si>
    <t>232743001</t>
  </si>
  <si>
    <t xml:space="preserve">17-10-2012 00:00:00</t>
  </si>
  <si>
    <t>27590945</t>
  </si>
  <si>
    <t xml:space="preserve">Вагонный участок Адлер - структурное подразделение Северо-Кавказского филиала АО "ФПК"</t>
  </si>
  <si>
    <t>7708709686</t>
  </si>
  <si>
    <t>231745001</t>
  </si>
  <si>
    <t>26760597</t>
  </si>
  <si>
    <t xml:space="preserve">Вагонный участок Новороссийск - структурное подразделение Северо - Кавказского филиала АО "ФПК"</t>
  </si>
  <si>
    <t>231545001</t>
  </si>
  <si>
    <t>28507902</t>
  </si>
  <si>
    <t xml:space="preserve">ГБПОУ КК "БАК", Брюховецкий район</t>
  </si>
  <si>
    <t>2327001327</t>
  </si>
  <si>
    <t>232701001</t>
  </si>
  <si>
    <t xml:space="preserve">26-12-2002 00:00:00</t>
  </si>
  <si>
    <t>27579156</t>
  </si>
  <si>
    <t xml:space="preserve">ГБУЗ "Детская краевая клиническая больница" ДЗ КК</t>
  </si>
  <si>
    <t>2309039134</t>
  </si>
  <si>
    <t>230000000</t>
  </si>
  <si>
    <t xml:space="preserve">01-09-2011 00:00:00</t>
  </si>
  <si>
    <t>31307256</t>
  </si>
  <si>
    <t xml:space="preserve">ГБУЗ "СПБ № 2"</t>
  </si>
  <si>
    <t>2323011726</t>
  </si>
  <si>
    <t>232301001</t>
  </si>
  <si>
    <t xml:space="preserve">04-10-2012 00:00:00</t>
  </si>
  <si>
    <t>28828134</t>
  </si>
  <si>
    <t xml:space="preserve">ГКУЗ "Лепрозорий"</t>
  </si>
  <si>
    <t>2323006733</t>
  </si>
  <si>
    <t xml:space="preserve">10-10-2002 00:00:00</t>
  </si>
  <si>
    <t>31598276</t>
  </si>
  <si>
    <t xml:space="preserve">ГУ "Санаторий "Беларусь"</t>
  </si>
  <si>
    <t>2320042317</t>
  </si>
  <si>
    <t xml:space="preserve">25-12-2002 00:00:00</t>
  </si>
  <si>
    <t>30876390</t>
  </si>
  <si>
    <t xml:space="preserve">Геленджикский Филиал ООО "Газпром теплоэнерго Краснодар"</t>
  </si>
  <si>
    <t>230443001</t>
  </si>
  <si>
    <t>26355108</t>
  </si>
  <si>
    <t xml:space="preserve">Гирейское ЗАО "Железобетон"</t>
  </si>
  <si>
    <t>2329000209</t>
  </si>
  <si>
    <t>31583587</t>
  </si>
  <si>
    <t xml:space="preserve">ЖСК "Царское Село"</t>
  </si>
  <si>
    <t>2311090498</t>
  </si>
  <si>
    <t xml:space="preserve">25-04-2022 00:00:00</t>
  </si>
  <si>
    <t>26355011</t>
  </si>
  <si>
    <t xml:space="preserve">ЗАО " Санаторий "Горячий Ключ"</t>
  </si>
  <si>
    <t>2305001884</t>
  </si>
  <si>
    <t>230501001</t>
  </si>
  <si>
    <t>26355084</t>
  </si>
  <si>
    <t xml:space="preserve">ЗАО "Абрау-Дюрсо"</t>
  </si>
  <si>
    <t>2315092440</t>
  </si>
  <si>
    <t>26355124</t>
  </si>
  <si>
    <t xml:space="preserve">ЗАО "КМКК"</t>
  </si>
  <si>
    <t>2335013799</t>
  </si>
  <si>
    <t>26471248</t>
  </si>
  <si>
    <t xml:space="preserve">ЗАО "Новокубанское"</t>
  </si>
  <si>
    <t>2343000056</t>
  </si>
  <si>
    <t>234301001</t>
  </si>
  <si>
    <t>26355015</t>
  </si>
  <si>
    <t xml:space="preserve">ЗАО "Санаторий Ейск"</t>
  </si>
  <si>
    <t>2306001189</t>
  </si>
  <si>
    <t>230601001</t>
  </si>
  <si>
    <t>26355148</t>
  </si>
  <si>
    <t xml:space="preserve">ЗАО "Сахарный комбинат "Тихорецкий"</t>
  </si>
  <si>
    <t>2354009290</t>
  </si>
  <si>
    <t>235401001</t>
  </si>
  <si>
    <t xml:space="preserve">15-09-2008 00:00:00</t>
  </si>
  <si>
    <t>26355143</t>
  </si>
  <si>
    <t xml:space="preserve">ЗАО "Тбилисский сахарный завод"</t>
  </si>
  <si>
    <t>2351007672</t>
  </si>
  <si>
    <t>235101001</t>
  </si>
  <si>
    <t>28221434</t>
  </si>
  <si>
    <t xml:space="preserve">ИП Гредин Е.Ю.</t>
  </si>
  <si>
    <t>231102247885</t>
  </si>
  <si>
    <t xml:space="preserve">16-08-2007 00:00:00</t>
  </si>
  <si>
    <t>28084316</t>
  </si>
  <si>
    <t xml:space="preserve">ИП Карапетян Л.К.</t>
  </si>
  <si>
    <t>231122656389</t>
  </si>
  <si>
    <t xml:space="preserve">18-05-2012 00:00:00</t>
  </si>
  <si>
    <t>31346923</t>
  </si>
  <si>
    <t xml:space="preserve">ИП Кравцов С.В.</t>
  </si>
  <si>
    <t>231509734628</t>
  </si>
  <si>
    <t xml:space="preserve">19-06-2014 00:00:00</t>
  </si>
  <si>
    <t>31653055</t>
  </si>
  <si>
    <t xml:space="preserve">ИП Шамрай В.В.</t>
  </si>
  <si>
    <t>230403277948</t>
  </si>
  <si>
    <t xml:space="preserve">03-09-2021 00:00:00</t>
  </si>
  <si>
    <t>31442630</t>
  </si>
  <si>
    <t xml:space="preserve">Индивидуальный предприниматель Соболев Алексей Михайлович</t>
  </si>
  <si>
    <t>233201344354</t>
  </si>
  <si>
    <t xml:space="preserve">21-02-2018 00:00:00</t>
  </si>
  <si>
    <t>28493735</t>
  </si>
  <si>
    <t xml:space="preserve">ККО ОГО ВФСО "Динамо"</t>
  </si>
  <si>
    <t>2310000935</t>
  </si>
  <si>
    <t xml:space="preserve">04-07-2006 00:00:00</t>
  </si>
  <si>
    <t>26383271</t>
  </si>
  <si>
    <t xml:space="preserve">Краснодарское УТТ и СТ ООО "Газпром трансгаз Краснодар"</t>
  </si>
  <si>
    <t>2308128945</t>
  </si>
  <si>
    <t>230802002</t>
  </si>
  <si>
    <t>30876458</t>
  </si>
  <si>
    <t xml:space="preserve">Кропоткинский Филиал ООО "Газпром теплоэнерго Краснодар"</t>
  </si>
  <si>
    <t>236443001</t>
  </si>
  <si>
    <t>31354308</t>
  </si>
  <si>
    <t xml:space="preserve">МБУ "РЭУ Новомихайловского городского поселения Туапсинского района"</t>
  </si>
  <si>
    <t>2365028760</t>
  </si>
  <si>
    <t xml:space="preserve">05-07-2019 00:00:00</t>
  </si>
  <si>
    <t>28049634</t>
  </si>
  <si>
    <t xml:space="preserve">МБУ "Учреждение благоустройства "Феникс"</t>
  </si>
  <si>
    <t>2364004260</t>
  </si>
  <si>
    <t>236401001</t>
  </si>
  <si>
    <t>26566036</t>
  </si>
  <si>
    <t xml:space="preserve">МКУ "Горькобалковское"</t>
  </si>
  <si>
    <t>2344014051</t>
  </si>
  <si>
    <t>234401001</t>
  </si>
  <si>
    <t xml:space="preserve">10-02-2006 00:00:00</t>
  </si>
  <si>
    <t>31445890</t>
  </si>
  <si>
    <t xml:space="preserve">МКУ "Новоберезанское хозяйственное объединение"</t>
  </si>
  <si>
    <t>2335064948</t>
  </si>
  <si>
    <t>233501001</t>
  </si>
  <si>
    <t xml:space="preserve">14-03-2012 00:00:00</t>
  </si>
  <si>
    <t>31001246</t>
  </si>
  <si>
    <t xml:space="preserve">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</si>
  <si>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</si>
  <si>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 xml:space="preserve">09-12-2013 00:00:00</t>
  </si>
  <si>
    <t>26795664</t>
  </si>
  <si>
    <t xml:space="preserve">МООО "Мичуринское ЖКХ"</t>
  </si>
  <si>
    <t>2330040118</t>
  </si>
  <si>
    <t>233001001</t>
  </si>
  <si>
    <t>26468848</t>
  </si>
  <si>
    <t xml:space="preserve">МООО "Пластуновское ЖКХ"</t>
  </si>
  <si>
    <t>2330035319</t>
  </si>
  <si>
    <t>26473008</t>
  </si>
  <si>
    <t xml:space="preserve">МП "Водоканал"</t>
  </si>
  <si>
    <t>2329018887</t>
  </si>
  <si>
    <t>26470943</t>
  </si>
  <si>
    <t xml:space="preserve">МП "ЖКХ" Красноармейского района</t>
  </si>
  <si>
    <t>2336001098</t>
  </si>
  <si>
    <t>233601001</t>
  </si>
  <si>
    <t>27991850</t>
  </si>
  <si>
    <t xml:space="preserve">МУ МП "Предгорье" ст. Упорной</t>
  </si>
  <si>
    <t>2374000017</t>
  </si>
  <si>
    <t>237401001</t>
  </si>
  <si>
    <t xml:space="preserve">06-11-2012 00:00:00</t>
  </si>
  <si>
    <t>26355073</t>
  </si>
  <si>
    <t xml:space="preserve">МУ МПКХ ст.Вознесенской</t>
  </si>
  <si>
    <t>2314019278</t>
  </si>
  <si>
    <t>231401001</t>
  </si>
  <si>
    <t>26471225</t>
  </si>
  <si>
    <t xml:space="preserve">МУКП "Жилкомхоз" Костромское"</t>
  </si>
  <si>
    <t>2342016705</t>
  </si>
  <si>
    <t>234201001</t>
  </si>
  <si>
    <t xml:space="preserve">09-08-2006 00:00:00</t>
  </si>
  <si>
    <t>26355016</t>
  </si>
  <si>
    <t xml:space="preserve">МУП  "Ейские тепловые сети"</t>
  </si>
  <si>
    <t>2306009759</t>
  </si>
  <si>
    <t>26545756</t>
  </si>
  <si>
    <t xml:space="preserve">МУП "Белоглинская теплосистема"</t>
  </si>
  <si>
    <t>2326007862</t>
  </si>
  <si>
    <t>232601001</t>
  </si>
  <si>
    <t>27183657</t>
  </si>
  <si>
    <t xml:space="preserve">МУП "Выселковские коммунальные системы"</t>
  </si>
  <si>
    <t>2328000573</t>
  </si>
  <si>
    <t xml:space="preserve">24-06-2011 00:00:00</t>
  </si>
  <si>
    <t>30349482</t>
  </si>
  <si>
    <t xml:space="preserve">МУП "Динком "ТЕПЛО"</t>
  </si>
  <si>
    <t>2373008912</t>
  </si>
  <si>
    <t>237301001</t>
  </si>
  <si>
    <t xml:space="preserve">01-08-2015 00:00:00</t>
  </si>
  <si>
    <t>26355149</t>
  </si>
  <si>
    <t xml:space="preserve">МУП "ЖКХ Архангельского сельского поселения Тихорецкого района"</t>
  </si>
  <si>
    <t>2354009580</t>
  </si>
  <si>
    <t>26473768</t>
  </si>
  <si>
    <t xml:space="preserve">МУП "ЖКХ Небугского сельского поселения"</t>
  </si>
  <si>
    <t>2365003131</t>
  </si>
  <si>
    <t xml:space="preserve">26-05-2006 00:00:00</t>
  </si>
  <si>
    <t>27892167</t>
  </si>
  <si>
    <t xml:space="preserve">МУП "ЖКХ Тбилисского района"</t>
  </si>
  <si>
    <t>2364007045</t>
  </si>
  <si>
    <t xml:space="preserve">27-07-2012 00:00:00</t>
  </si>
  <si>
    <t>30377855</t>
  </si>
  <si>
    <t xml:space="preserve">МУП "ЖКХ Тихорецкого района"</t>
  </si>
  <si>
    <t>2360008633</t>
  </si>
  <si>
    <t>236001001</t>
  </si>
  <si>
    <t xml:space="preserve">11-12-2015 00:00:00</t>
  </si>
  <si>
    <t>30350494</t>
  </si>
  <si>
    <t xml:space="preserve">МУП "Коммунальник"</t>
  </si>
  <si>
    <t>2373006016</t>
  </si>
  <si>
    <t xml:space="preserve">13-03-2014 00:00:00</t>
  </si>
  <si>
    <t>28817209</t>
  </si>
  <si>
    <t xml:space="preserve">МУП "Коммунальщик",  Сладковское сельское поселение Лабинский район</t>
  </si>
  <si>
    <t>2374980052</t>
  </si>
  <si>
    <t>26532106</t>
  </si>
  <si>
    <t xml:space="preserve">МУП "Ленинградский Теплоцентр"</t>
  </si>
  <si>
    <t>2341014776</t>
  </si>
  <si>
    <t>234101001</t>
  </si>
  <si>
    <t>26492043</t>
  </si>
  <si>
    <t xml:space="preserve">МУП "Мостовские тепловые сети"</t>
  </si>
  <si>
    <t>2342017970</t>
  </si>
  <si>
    <t>26475790</t>
  </si>
  <si>
    <t xml:space="preserve">МУП "Новодмитриевское ЖКХ"</t>
  </si>
  <si>
    <t>2348029330</t>
  </si>
  <si>
    <t>234801001</t>
  </si>
  <si>
    <t xml:space="preserve">13-04-2009 00:00:00</t>
  </si>
  <si>
    <t>26532108</t>
  </si>
  <si>
    <t xml:space="preserve">МУП "Ресурс"</t>
  </si>
  <si>
    <t>2357006040</t>
  </si>
  <si>
    <t xml:space="preserve">19-08-2010 00:00:00</t>
  </si>
  <si>
    <t>26468858</t>
  </si>
  <si>
    <t xml:space="preserve">МУП "Родное подворье"</t>
  </si>
  <si>
    <t>2330032780</t>
  </si>
  <si>
    <t>26508493</t>
  </si>
  <si>
    <t xml:space="preserve">МУП "Сочитеплоэнерго"</t>
  </si>
  <si>
    <t>2320033802</t>
  </si>
  <si>
    <t>31521886</t>
  </si>
  <si>
    <t xml:space="preserve">МУП "ТЭК Крымского района"</t>
  </si>
  <si>
    <t>2376004271</t>
  </si>
  <si>
    <t>237601001</t>
  </si>
  <si>
    <t xml:space="preserve">16-08-2021 00:00:00</t>
  </si>
  <si>
    <t>26468913</t>
  </si>
  <si>
    <t xml:space="preserve">МУП "Тепловодокомплекс Темижбекский"</t>
  </si>
  <si>
    <t>2332017202</t>
  </si>
  <si>
    <t>233201001</t>
  </si>
  <si>
    <t xml:space="preserve">16-11-2006 00:00:00</t>
  </si>
  <si>
    <t>26489059</t>
  </si>
  <si>
    <t xml:space="preserve">МУП "Тепловое хозяйство"</t>
  </si>
  <si>
    <t>2343019875</t>
  </si>
  <si>
    <t>28816743</t>
  </si>
  <si>
    <t xml:space="preserve">МУП "Тепловые сети Тбилисского района"</t>
  </si>
  <si>
    <t>2364010802</t>
  </si>
  <si>
    <t xml:space="preserve">23-07-2014 00:00:00</t>
  </si>
  <si>
    <t>30360877</t>
  </si>
  <si>
    <t xml:space="preserve">МУП "Тепловые сети", г. Горячий Ключ</t>
  </si>
  <si>
    <t>2305028942</t>
  </si>
  <si>
    <t xml:space="preserve">16-04-2014 00:00:00</t>
  </si>
  <si>
    <t>28269915</t>
  </si>
  <si>
    <t xml:space="preserve">МУП "Тепловые сети", г.Приморско-Ахтарск</t>
  </si>
  <si>
    <t>2347015590</t>
  </si>
  <si>
    <t>234701001</t>
  </si>
  <si>
    <t xml:space="preserve">17-05-2013 00:00:00</t>
  </si>
  <si>
    <t>26355008</t>
  </si>
  <si>
    <t xml:space="preserve">МУП "Тепловые сети", город- курорт Геленджик</t>
  </si>
  <si>
    <t>2304002170</t>
  </si>
  <si>
    <t>230401001</t>
  </si>
  <si>
    <t>28868089</t>
  </si>
  <si>
    <t xml:space="preserve">МУП "Теплокомплекс"</t>
  </si>
  <si>
    <t>2370003850</t>
  </si>
  <si>
    <t>237001001</t>
  </si>
  <si>
    <t xml:space="preserve">30-07-2014 00:00:00</t>
  </si>
  <si>
    <t>26532003</t>
  </si>
  <si>
    <t xml:space="preserve">МУП "Теплоэнергетик"</t>
  </si>
  <si>
    <t>2340019933</t>
  </si>
  <si>
    <t>234001001</t>
  </si>
  <si>
    <t>26507369</t>
  </si>
  <si>
    <t xml:space="preserve">МУП "Теплоэнергетик", Староминский район</t>
  </si>
  <si>
    <t>2350010979</t>
  </si>
  <si>
    <t>235001001</t>
  </si>
  <si>
    <t>26537645</t>
  </si>
  <si>
    <t xml:space="preserve">МУП "Универсал"</t>
  </si>
  <si>
    <t>2323026458</t>
  </si>
  <si>
    <t xml:space="preserve">22-02-2007 00:00:00</t>
  </si>
  <si>
    <t>26468864</t>
  </si>
  <si>
    <t xml:space="preserve">МУП "ЮГ"</t>
  </si>
  <si>
    <t>2330022454</t>
  </si>
  <si>
    <t>26531974</t>
  </si>
  <si>
    <t xml:space="preserve">МУП «Тепловые сети», Крыловский район</t>
  </si>
  <si>
    <t>2338011479</t>
  </si>
  <si>
    <t>233801001</t>
  </si>
  <si>
    <t>26518022</t>
  </si>
  <si>
    <t xml:space="preserve">МУП «Теплоэнерго» МО ЩР</t>
  </si>
  <si>
    <t>2361000740</t>
  </si>
  <si>
    <t>236101001</t>
  </si>
  <si>
    <t>27903086</t>
  </si>
  <si>
    <t xml:space="preserve">МУП БГП БР "Белореченские тепловые сети"</t>
  </si>
  <si>
    <t>2368003595</t>
  </si>
  <si>
    <t>236801001</t>
  </si>
  <si>
    <t xml:space="preserve">24-05-2012 00:00:00</t>
  </si>
  <si>
    <t>26468852</t>
  </si>
  <si>
    <t xml:space="preserve">МУП ЖКХ Нововеличковское</t>
  </si>
  <si>
    <t>2330034763</t>
  </si>
  <si>
    <t>26516731</t>
  </si>
  <si>
    <t xml:space="preserve">МУП Каневского района "Каневские тепловые сети"</t>
  </si>
  <si>
    <t>2334022039</t>
  </si>
  <si>
    <t>31676611</t>
  </si>
  <si>
    <t xml:space="preserve">МУП Кореновского городского поселения "Тепловые сети"</t>
  </si>
  <si>
    <t>2335013407</t>
  </si>
  <si>
    <t xml:space="preserve">19-09-2002 00:00:00</t>
  </si>
  <si>
    <t>26528220</t>
  </si>
  <si>
    <t xml:space="preserve">МУП МО Курганинский район "Курганинсктеплоэнерго"</t>
  </si>
  <si>
    <t>2339017924</t>
  </si>
  <si>
    <t>233901001</t>
  </si>
  <si>
    <t xml:space="preserve">15-06-2013 00:00:00</t>
  </si>
  <si>
    <t>30849293</t>
  </si>
  <si>
    <t xml:space="preserve">МУП МО г. Сочи "Водоканал"</t>
  </si>
  <si>
    <t>2320242443</t>
  </si>
  <si>
    <t>26473338</t>
  </si>
  <si>
    <t xml:space="preserve">МУП Новоберезанского сельского поселения Кореновского района "ЖКХ"</t>
  </si>
  <si>
    <t>2335014619</t>
  </si>
  <si>
    <t>26490767</t>
  </si>
  <si>
    <t xml:space="preserve">МУП ОР КК "Теплоэнергия"</t>
  </si>
  <si>
    <t>2345011744</t>
  </si>
  <si>
    <t>234501001</t>
  </si>
  <si>
    <t>31193574</t>
  </si>
  <si>
    <t xml:space="preserve">МУП РСП БР "Рязанское"</t>
  </si>
  <si>
    <t>2368010842</t>
  </si>
  <si>
    <t xml:space="preserve">11-09-2018 00:00:00</t>
  </si>
  <si>
    <t>26355118</t>
  </si>
  <si>
    <t xml:space="preserve">МУП ТВК "Кавказский"</t>
  </si>
  <si>
    <t>2332017210</t>
  </si>
  <si>
    <t xml:space="preserve">17-11-2006 00:00:00</t>
  </si>
  <si>
    <t>26355098</t>
  </si>
  <si>
    <t xml:space="preserve">МУП ТГП ТР  "Тихорецктепло"</t>
  </si>
  <si>
    <t>2321009390</t>
  </si>
  <si>
    <t xml:space="preserve">23-08-2023 00:00:00</t>
  </si>
  <si>
    <t>28817197</t>
  </si>
  <si>
    <t xml:space="preserve">МУП ШСП ТР "ДорБлагоустройство"</t>
  </si>
  <si>
    <t>2365019237</t>
  </si>
  <si>
    <t>26528098</t>
  </si>
  <si>
    <t xml:space="preserve">МУП гор.Лабинска "Тепловые сети"</t>
  </si>
  <si>
    <t>2314001584</t>
  </si>
  <si>
    <t>26355051</t>
  </si>
  <si>
    <t xml:space="preserve">МУП совхоз "Прогресс"</t>
  </si>
  <si>
    <t>2311030611</t>
  </si>
  <si>
    <t xml:space="preserve">10-01-2003 00:00:00</t>
  </si>
  <si>
    <t>26355129</t>
  </si>
  <si>
    <t xml:space="preserve">МУПЖКХ "Первомайское", Ленинградский район</t>
  </si>
  <si>
    <t>2341013229</t>
  </si>
  <si>
    <t xml:space="preserve">12-07-2006 00:00:00</t>
  </si>
  <si>
    <t>31479446</t>
  </si>
  <si>
    <t xml:space="preserve">НАО "Красная поляна"</t>
  </si>
  <si>
    <t>2320102816</t>
  </si>
  <si>
    <t xml:space="preserve">02-10-2001 00:00:00</t>
  </si>
  <si>
    <t>30837945</t>
  </si>
  <si>
    <t xml:space="preserve">НАО "ТЭК"</t>
  </si>
  <si>
    <t>5321172297</t>
  </si>
  <si>
    <t>532101001</t>
  </si>
  <si>
    <t xml:space="preserve">13-11-2014 00:00:00</t>
  </si>
  <si>
    <t>26468820</t>
  </si>
  <si>
    <t xml:space="preserve">Новомалороссийское МУМП ЖКХ</t>
  </si>
  <si>
    <t>2328014400</t>
  </si>
  <si>
    <t>31523933</t>
  </si>
  <si>
    <t xml:space="preserve">Новопокровский филиал ООО "ТТР"</t>
  </si>
  <si>
    <t>236043001</t>
  </si>
  <si>
    <t>26528859</t>
  </si>
  <si>
    <t xml:space="preserve">Новороссийский ВРЗ филиал АО "ВРМ"</t>
  </si>
  <si>
    <t>7722648033</t>
  </si>
  <si>
    <t>231503001</t>
  </si>
  <si>
    <t>28821058</t>
  </si>
  <si>
    <t xml:space="preserve">ОАО  Санаторий "Зеленая роща"</t>
  </si>
  <si>
    <t>2319009266</t>
  </si>
  <si>
    <t xml:space="preserve">12-07-2001 00:00:00</t>
  </si>
  <si>
    <t>26354997</t>
  </si>
  <si>
    <t xml:space="preserve">ОАО " Аэропорт Анапа "</t>
  </si>
  <si>
    <t>2301013617</t>
  </si>
  <si>
    <t>26531540</t>
  </si>
  <si>
    <t xml:space="preserve">ОАО "81 БТРЗ"</t>
  </si>
  <si>
    <t>2302060955</t>
  </si>
  <si>
    <t>26518730</t>
  </si>
  <si>
    <t xml:space="preserve">ОАО "Армавирский завод резиновых изделий"</t>
  </si>
  <si>
    <t>2302008970</t>
  </si>
  <si>
    <t xml:space="preserve">06-07-2010 00:00:00</t>
  </si>
  <si>
    <t>26355135</t>
  </si>
  <si>
    <t xml:space="preserve">ОАО "Викор"</t>
  </si>
  <si>
    <t>2344001775</t>
  </si>
  <si>
    <t xml:space="preserve">21-08-2002 00:00:00</t>
  </si>
  <si>
    <t>27812498</t>
  </si>
  <si>
    <t xml:space="preserve">ОАО "Завод Мехпромстрой"</t>
  </si>
  <si>
    <t>2311013214</t>
  </si>
  <si>
    <t>28067723</t>
  </si>
  <si>
    <t xml:space="preserve">ОАО "Кавказ"</t>
  </si>
  <si>
    <t>2350010520</t>
  </si>
  <si>
    <t>26490081</t>
  </si>
  <si>
    <t xml:space="preserve">ОАО "Краснодарнефтегеофизика"</t>
  </si>
  <si>
    <t>2308024537</t>
  </si>
  <si>
    <t>26355132</t>
  </si>
  <si>
    <t xml:space="preserve">ОАО "Кристалл-2"</t>
  </si>
  <si>
    <t>2343000063</t>
  </si>
  <si>
    <t>26355000</t>
  </si>
  <si>
    <t xml:space="preserve">ОАО "МЖК "Армавирский"</t>
  </si>
  <si>
    <t>2302016730</t>
  </si>
  <si>
    <t>28447273</t>
  </si>
  <si>
    <t xml:space="preserve">ОАО "МЖК "Краснодарский"</t>
  </si>
  <si>
    <t>2310043294</t>
  </si>
  <si>
    <t xml:space="preserve">17-07-2002 00:00:00</t>
  </si>
  <si>
    <t>26508718</t>
  </si>
  <si>
    <t xml:space="preserve">ОАО "Нефтегазгеотерм"</t>
  </si>
  <si>
    <t>2630024131</t>
  </si>
  <si>
    <t>26355081</t>
  </si>
  <si>
    <t xml:space="preserve">ОАО "Новоросцемент"</t>
  </si>
  <si>
    <t>2315020195</t>
  </si>
  <si>
    <t>26355128</t>
  </si>
  <si>
    <t xml:space="preserve">ОАО "СЗЛ"</t>
  </si>
  <si>
    <t>2341006687</t>
  </si>
  <si>
    <t xml:space="preserve">12-09-2002 00:00:00</t>
  </si>
  <si>
    <t>26518989</t>
  </si>
  <si>
    <t xml:space="preserve">ОАО "Теплосервис"</t>
  </si>
  <si>
    <t>2335015394</t>
  </si>
  <si>
    <t xml:space="preserve">31-05-2010 00:00:00</t>
  </si>
  <si>
    <t>28261852</t>
  </si>
  <si>
    <t xml:space="preserve">ОАО "огк-2"</t>
  </si>
  <si>
    <t>2357005826</t>
  </si>
  <si>
    <t>28855684</t>
  </si>
  <si>
    <t xml:space="preserve">ОАО агрофирма "Нива"</t>
  </si>
  <si>
    <t>2353016432</t>
  </si>
  <si>
    <t>235301001</t>
  </si>
  <si>
    <t xml:space="preserve">29-03-1999 00:00:00</t>
  </si>
  <si>
    <t>31409425</t>
  </si>
  <si>
    <t xml:space="preserve">ООО "АЛЬПИКА"</t>
  </si>
  <si>
    <t>2320163390</t>
  </si>
  <si>
    <t>31557493</t>
  </si>
  <si>
    <t xml:space="preserve">ООО "АСУ-Сервис"</t>
  </si>
  <si>
    <t>2309067371</t>
  </si>
  <si>
    <t xml:space="preserve">28-01-2022 00:00:00</t>
  </si>
  <si>
    <t>26653523</t>
  </si>
  <si>
    <t xml:space="preserve">ООО "Агроном-эплпрод"</t>
  </si>
  <si>
    <t>2330033287</t>
  </si>
  <si>
    <t xml:space="preserve">20-01-2011 00:00:00</t>
  </si>
  <si>
    <t>31689541</t>
  </si>
  <si>
    <t xml:space="preserve">ООО "АнапаТеплоресурс"</t>
  </si>
  <si>
    <t>2301109485</t>
  </si>
  <si>
    <t xml:space="preserve">05-06-2023 00:00:00</t>
  </si>
  <si>
    <t>27683318</t>
  </si>
  <si>
    <t xml:space="preserve">ООО "Аполинария"</t>
  </si>
  <si>
    <t>2302029176</t>
  </si>
  <si>
    <t>26551826</t>
  </si>
  <si>
    <t xml:space="preserve">ООО "Афипский НПЗ"</t>
  </si>
  <si>
    <t>7704214548</t>
  </si>
  <si>
    <t xml:space="preserve">12-02-2003 00:00:00</t>
  </si>
  <si>
    <t>31498899</t>
  </si>
  <si>
    <t xml:space="preserve">ООО "Базис"</t>
  </si>
  <si>
    <t>2312153704</t>
  </si>
  <si>
    <t xml:space="preserve">01-09-2008 00:00:00</t>
  </si>
  <si>
    <t>26355106</t>
  </si>
  <si>
    <t xml:space="preserve">ООО "Брюховецкие тепловые сети"</t>
  </si>
  <si>
    <t>2327009703</t>
  </si>
  <si>
    <t>27666064</t>
  </si>
  <si>
    <t xml:space="preserve">ООО "ВЕТРОЭН-ЮГ"</t>
  </si>
  <si>
    <t>2309101992</t>
  </si>
  <si>
    <t>26653340</t>
  </si>
  <si>
    <t xml:space="preserve">ООО "ВИРА"</t>
  </si>
  <si>
    <t>2310146236</t>
  </si>
  <si>
    <t>27666060</t>
  </si>
  <si>
    <t xml:space="preserve">ООО "ВЭС-Мирный"</t>
  </si>
  <si>
    <t>2361005272</t>
  </si>
  <si>
    <t>31230239</t>
  </si>
  <si>
    <t xml:space="preserve">ООО "Вода-Тепло"</t>
  </si>
  <si>
    <t>2365003452</t>
  </si>
  <si>
    <t xml:space="preserve">08-06-2006 00:00:00</t>
  </si>
  <si>
    <t>31447843</t>
  </si>
  <si>
    <t xml:space="preserve">ООО "ГЭС"</t>
  </si>
  <si>
    <t>2310221236</t>
  </si>
  <si>
    <t xml:space="preserve">28-09-2020 00:00:00</t>
  </si>
  <si>
    <t>28221015</t>
  </si>
  <si>
    <t xml:space="preserve">ООО "Газпром трансгаз Краснодар" филиал Медико-санитарная часть</t>
  </si>
  <si>
    <t>230802004</t>
  </si>
  <si>
    <t>31447837</t>
  </si>
  <si>
    <t xml:space="preserve">ООО "Гидросервис"</t>
  </si>
  <si>
    <t>2365009454</t>
  </si>
  <si>
    <t xml:space="preserve">17-08-2007 00:00:00</t>
  </si>
  <si>
    <t>30894836</t>
  </si>
  <si>
    <t xml:space="preserve">ООО "Город Солнца"</t>
  </si>
  <si>
    <t>2320224042</t>
  </si>
  <si>
    <t xml:space="preserve">20-03-2017 00:00:00</t>
  </si>
  <si>
    <t>26516607</t>
  </si>
  <si>
    <t xml:space="preserve">ООО "Дунай"</t>
  </si>
  <si>
    <t>2308056962</t>
  </si>
  <si>
    <t>31680390</t>
  </si>
  <si>
    <t xml:space="preserve">ООО "ЖК "Молодежный"</t>
  </si>
  <si>
    <t>2315184556</t>
  </si>
  <si>
    <t xml:space="preserve">29-11-2013 00:00:00</t>
  </si>
  <si>
    <t>31663671</t>
  </si>
  <si>
    <t xml:space="preserve">ООО "ЖилКомСети"</t>
  </si>
  <si>
    <t>2312230821</t>
  </si>
  <si>
    <t xml:space="preserve">06-07-2015 00:00:00</t>
  </si>
  <si>
    <t>31109625</t>
  </si>
  <si>
    <t xml:space="preserve">ООО "ИПП"</t>
  </si>
  <si>
    <t>2315999816</t>
  </si>
  <si>
    <t xml:space="preserve">01-02-2018 00:00:00</t>
  </si>
  <si>
    <t>26786376</t>
  </si>
  <si>
    <t xml:space="preserve">ООО "ИнвестГрупп-Энерджи"</t>
  </si>
  <si>
    <t>7724654924</t>
  </si>
  <si>
    <t>28944782</t>
  </si>
  <si>
    <t xml:space="preserve">ООО "ИнжКомСтрой"</t>
  </si>
  <si>
    <t>2312214932</t>
  </si>
  <si>
    <t xml:space="preserve">28-05-2014 00:00:00</t>
  </si>
  <si>
    <t>28446173</t>
  </si>
  <si>
    <t xml:space="preserve">ООО "КНВЛ Групп"</t>
  </si>
  <si>
    <t>5254031153</t>
  </si>
  <si>
    <t>31596908</t>
  </si>
  <si>
    <t xml:space="preserve">ООО "КНВЛ-Энерджи"</t>
  </si>
  <si>
    <t>2308206079</t>
  </si>
  <si>
    <t xml:space="preserve">24-06-2022 00:00:00</t>
  </si>
  <si>
    <t>31359272</t>
  </si>
  <si>
    <t xml:space="preserve">ООО "КТ"</t>
  </si>
  <si>
    <t>2311297943</t>
  </si>
  <si>
    <t xml:space="preserve">19-11-2019 00:00:00</t>
  </si>
  <si>
    <t>30924762</t>
  </si>
  <si>
    <t xml:space="preserve">ООО "КТИ"</t>
  </si>
  <si>
    <t>2311194722</t>
  </si>
  <si>
    <t xml:space="preserve">10-07-2015 00:00:00</t>
  </si>
  <si>
    <t>31517228</t>
  </si>
  <si>
    <t xml:space="preserve">ООО "КТЭ"</t>
  </si>
  <si>
    <t>2311322773</t>
  </si>
  <si>
    <t>31639119</t>
  </si>
  <si>
    <t xml:space="preserve">ООО "КТЭК"</t>
  </si>
  <si>
    <t>2311323576</t>
  </si>
  <si>
    <t>28265804</t>
  </si>
  <si>
    <t xml:space="preserve">ООО "Карасунские тепловые сети"</t>
  </si>
  <si>
    <t>2309118107</t>
  </si>
  <si>
    <t>28468279</t>
  </si>
  <si>
    <t xml:space="preserve">ООО "КомЭнерго"</t>
  </si>
  <si>
    <t>2315177580</t>
  </si>
  <si>
    <t xml:space="preserve">01-01-2013 00:00:00</t>
  </si>
  <si>
    <t>31323592</t>
  </si>
  <si>
    <t xml:space="preserve">ООО "Корпус"</t>
  </si>
  <si>
    <t>2308215764</t>
  </si>
  <si>
    <t xml:space="preserve">04-07-2019 00:00:00</t>
  </si>
  <si>
    <t>31447831</t>
  </si>
  <si>
    <t xml:space="preserve">ООО "Кубанская Тепловая Компания""</t>
  </si>
  <si>
    <t>2311305312</t>
  </si>
  <si>
    <t xml:space="preserve">16-10-2020 00:00:00</t>
  </si>
  <si>
    <t>31625756</t>
  </si>
  <si>
    <t xml:space="preserve">ООО "Кубанькрайгаз"</t>
  </si>
  <si>
    <t>2360010921</t>
  </si>
  <si>
    <t>26606488</t>
  </si>
  <si>
    <t xml:space="preserve">ООО "Кубаньречфлот-сервис"</t>
  </si>
  <si>
    <t>2309121163</t>
  </si>
  <si>
    <t xml:space="preserve">22-03-2010 00:00:00</t>
  </si>
  <si>
    <t>26487627</t>
  </si>
  <si>
    <t xml:space="preserve">ООО "ЛУКОЙЛ-Кубаньэнерго"</t>
  </si>
  <si>
    <t>2312159262</t>
  </si>
  <si>
    <t xml:space="preserve">26-02-2009 00:00:00</t>
  </si>
  <si>
    <t>28967420</t>
  </si>
  <si>
    <t xml:space="preserve">ООО "Лидер"</t>
  </si>
  <si>
    <t>2309093131</t>
  </si>
  <si>
    <t xml:space="preserve">13-05-2015 00:00:00</t>
  </si>
  <si>
    <t>28075032</t>
  </si>
  <si>
    <t xml:space="preserve">ООО "МК-Инвест"</t>
  </si>
  <si>
    <t>2302059491</t>
  </si>
  <si>
    <t xml:space="preserve">20-06-2023 00:00:00</t>
  </si>
  <si>
    <t>31625740</t>
  </si>
  <si>
    <t xml:space="preserve">ООО "ММК"</t>
  </si>
  <si>
    <t>2369005299</t>
  </si>
  <si>
    <t>236901001</t>
  </si>
  <si>
    <t xml:space="preserve">08-02-2017 00:00:00</t>
  </si>
  <si>
    <t>30355977</t>
  </si>
  <si>
    <t xml:space="preserve">ООО "МОССПЕЦМОНТАЖ"</t>
  </si>
  <si>
    <t>5032234346</t>
  </si>
  <si>
    <t>503201001</t>
  </si>
  <si>
    <t xml:space="preserve">24-02-2011 00:00:00</t>
  </si>
  <si>
    <t>31220953</t>
  </si>
  <si>
    <t xml:space="preserve">ООО "МТС"</t>
  </si>
  <si>
    <t>2369006704</t>
  </si>
  <si>
    <t xml:space="preserve">09-11-2018 00:00:00</t>
  </si>
  <si>
    <t>31448096</t>
  </si>
  <si>
    <t xml:space="preserve">ООО "МЭС"</t>
  </si>
  <si>
    <t>2321016736</t>
  </si>
  <si>
    <t xml:space="preserve">16-08-2022 00:00:00</t>
  </si>
  <si>
    <t>31417412</t>
  </si>
  <si>
    <t xml:space="preserve">ООО "Магнит Фарма"</t>
  </si>
  <si>
    <t>7702420263</t>
  </si>
  <si>
    <t xml:space="preserve">12-07-2017 00:00:00</t>
  </si>
  <si>
    <t>31695752</t>
  </si>
  <si>
    <t xml:space="preserve">ООО "Мацестареалстрой"</t>
  </si>
  <si>
    <t>2309098926</t>
  </si>
  <si>
    <t xml:space="preserve">15-06-2006 00:00:00</t>
  </si>
  <si>
    <t>31442275</t>
  </si>
  <si>
    <t xml:space="preserve">ООО "Меркурий"</t>
  </si>
  <si>
    <t>2311124852</t>
  </si>
  <si>
    <t>28827957</t>
  </si>
  <si>
    <t xml:space="preserve">ООО "Модуль"</t>
  </si>
  <si>
    <t>2373003960</t>
  </si>
  <si>
    <t xml:space="preserve">20-06-2013 00:00:00</t>
  </si>
  <si>
    <t>27579623</t>
  </si>
  <si>
    <t xml:space="preserve">ООО "НИИК "Инвест Т"</t>
  </si>
  <si>
    <t>2343019402</t>
  </si>
  <si>
    <t>31456831</t>
  </si>
  <si>
    <t xml:space="preserve">ООО "НТГ"</t>
  </si>
  <si>
    <t>2315216208</t>
  </si>
  <si>
    <t xml:space="preserve">29-11-2020 00:00:00</t>
  </si>
  <si>
    <t>26528794</t>
  </si>
  <si>
    <t xml:space="preserve">ООО "Нефтегазтехнология - Ресурс"</t>
  </si>
  <si>
    <t>2308113794</t>
  </si>
  <si>
    <t>26355137</t>
  </si>
  <si>
    <t xml:space="preserve">ООО "Новопокровские тепловые сети"</t>
  </si>
  <si>
    <t>2344014340</t>
  </si>
  <si>
    <t>30939750</t>
  </si>
  <si>
    <t xml:space="preserve">ООО "Новороссийская тепловая компания"</t>
  </si>
  <si>
    <t>2315986542</t>
  </si>
  <si>
    <t xml:space="preserve">04-12-2015 00:00:00</t>
  </si>
  <si>
    <t>30836721</t>
  </si>
  <si>
    <t xml:space="preserve">ООО "Норд-Фактор"</t>
  </si>
  <si>
    <t>7810412654</t>
  </si>
  <si>
    <t xml:space="preserve">12-09-2016 00:00:00</t>
  </si>
  <si>
    <t>28861442</t>
  </si>
  <si>
    <t xml:space="preserve">ООО "Ноябрь"</t>
  </si>
  <si>
    <t>2310165831</t>
  </si>
  <si>
    <t xml:space="preserve">07-11-2014 00:00:00</t>
  </si>
  <si>
    <t>30837914</t>
  </si>
  <si>
    <t xml:space="preserve">ООО "Павловский сахарный завод"</t>
  </si>
  <si>
    <t>2309140864</t>
  </si>
  <si>
    <t>236201001</t>
  </si>
  <si>
    <t xml:space="preserve">20-05-2016 00:00:00</t>
  </si>
  <si>
    <t>31502075</t>
  </si>
  <si>
    <t xml:space="preserve">ООО "РГС-Ресурс"</t>
  </si>
  <si>
    <t>2315218597</t>
  </si>
  <si>
    <t xml:space="preserve">03-11-2020 00:00:00</t>
  </si>
  <si>
    <t>26319777</t>
  </si>
  <si>
    <t xml:space="preserve">ООО "РН-Туапсинский НПЗ"</t>
  </si>
  <si>
    <t>2365004375</t>
  </si>
  <si>
    <t xml:space="preserve">16-11-2005 00:00:00</t>
  </si>
  <si>
    <t>30925669</t>
  </si>
  <si>
    <t xml:space="preserve">ООО "РСО-ЮГ"</t>
  </si>
  <si>
    <t>2311135646</t>
  </si>
  <si>
    <t xml:space="preserve">09-06-2011 00:00:00</t>
  </si>
  <si>
    <t>31345866</t>
  </si>
  <si>
    <t xml:space="preserve">ООО "РТЭ"</t>
  </si>
  <si>
    <t>2311286476</t>
  </si>
  <si>
    <t xml:space="preserve">01-04-2019 00:00:00</t>
  </si>
  <si>
    <t>31356957</t>
  </si>
  <si>
    <t xml:space="preserve">ООО "Риф Сервис"</t>
  </si>
  <si>
    <t>2301092136</t>
  </si>
  <si>
    <t>236601001</t>
  </si>
  <si>
    <t xml:space="preserve">08-06-2016 00:00:00</t>
  </si>
  <si>
    <t>31483921</t>
  </si>
  <si>
    <t xml:space="preserve">ООО "СБ-Энерго"</t>
  </si>
  <si>
    <t>2312297618</t>
  </si>
  <si>
    <t xml:space="preserve">31-03-2021 00:00:00</t>
  </si>
  <si>
    <t>31214534</t>
  </si>
  <si>
    <t xml:space="preserve">ООО "СЗ ЧЕРНОМОР"</t>
  </si>
  <si>
    <t>2320225840</t>
  </si>
  <si>
    <t xml:space="preserve">23-10-2014 00:00:00</t>
  </si>
  <si>
    <t>26355043</t>
  </si>
  <si>
    <t xml:space="preserve">ООО "СЗ" "ИСК «БУДМАР»</t>
  </si>
  <si>
    <t>2310081363</t>
  </si>
  <si>
    <t>31349809</t>
  </si>
  <si>
    <t xml:space="preserve">ООО "СПКК"</t>
  </si>
  <si>
    <t>7814299632</t>
  </si>
  <si>
    <t>781401001</t>
  </si>
  <si>
    <t xml:space="preserve">22-12-2015 00:00:00</t>
  </si>
  <si>
    <t>26355094</t>
  </si>
  <si>
    <t xml:space="preserve">ООО "Санаторий "Заполярье"</t>
  </si>
  <si>
    <t>2320126214</t>
  </si>
  <si>
    <t xml:space="preserve">28-06-2004 00:00:00</t>
  </si>
  <si>
    <t>26509884</t>
  </si>
  <si>
    <t xml:space="preserve">ООО "Санаторий "С.С.С.Р."</t>
  </si>
  <si>
    <t>2317036306</t>
  </si>
  <si>
    <t>26529733</t>
  </si>
  <si>
    <t xml:space="preserve">ООО "Свод Интернешнл"</t>
  </si>
  <si>
    <t>7730163480</t>
  </si>
  <si>
    <t>773001001</t>
  </si>
  <si>
    <t>26355044</t>
  </si>
  <si>
    <t xml:space="preserve">ООО "Славяне"</t>
  </si>
  <si>
    <t>2310097839</t>
  </si>
  <si>
    <t xml:space="preserve">14-11-2004 00:00:00</t>
  </si>
  <si>
    <t>31638727</t>
  </si>
  <si>
    <t xml:space="preserve">ООО "Славянсктеплоэнерго"</t>
  </si>
  <si>
    <t>2370010511</t>
  </si>
  <si>
    <t xml:space="preserve">22-06-2020 00:00:00</t>
  </si>
  <si>
    <t>27919094</t>
  </si>
  <si>
    <t xml:space="preserve">ООО "Строй-Новация"</t>
  </si>
  <si>
    <t>2310037639</t>
  </si>
  <si>
    <t>31078106</t>
  </si>
  <si>
    <t xml:space="preserve">ООО "СтройСервис"</t>
  </si>
  <si>
    <t>2301077434</t>
  </si>
  <si>
    <t xml:space="preserve">30-12-2017 00:00:00</t>
  </si>
  <si>
    <t>30840101</t>
  </si>
  <si>
    <t xml:space="preserve">ООО "ТД94"</t>
  </si>
  <si>
    <t>2309150358</t>
  </si>
  <si>
    <t xml:space="preserve">21-04-2016 00:00:00</t>
  </si>
  <si>
    <t>31627950</t>
  </si>
  <si>
    <t xml:space="preserve">ООО "ТСО №1"</t>
  </si>
  <si>
    <t>2310226636</t>
  </si>
  <si>
    <t xml:space="preserve">05-10-2021 00:00:00</t>
  </si>
  <si>
    <t>31568475</t>
  </si>
  <si>
    <t xml:space="preserve">ООО "ТСС"</t>
  </si>
  <si>
    <t>2311328302</t>
  </si>
  <si>
    <t xml:space="preserve">21-12-2021 00:00:00</t>
  </si>
  <si>
    <t>31349188</t>
  </si>
  <si>
    <t xml:space="preserve">ООО "ТТК"</t>
  </si>
  <si>
    <t>2311290377</t>
  </si>
  <si>
    <t xml:space="preserve">24-10-2019 00:00:00</t>
  </si>
  <si>
    <t>31624813</t>
  </si>
  <si>
    <t xml:space="preserve">ООО "ТЭС"</t>
  </si>
  <si>
    <t>2312311990</t>
  </si>
  <si>
    <t xml:space="preserve">13-10-2022 00:00:00</t>
  </si>
  <si>
    <t>31418850</t>
  </si>
  <si>
    <t xml:space="preserve">ООО "Тепло"</t>
  </si>
  <si>
    <t>2310209302</t>
  </si>
  <si>
    <t xml:space="preserve">21-08-2018 00:00:00</t>
  </si>
  <si>
    <t>31540438</t>
  </si>
  <si>
    <t>2365030008</t>
  </si>
  <si>
    <t xml:space="preserve">19-11-2021 00:00:00</t>
  </si>
  <si>
    <t>31282543</t>
  </si>
  <si>
    <t xml:space="preserve">ООО "ТеплоТЭК"</t>
  </si>
  <si>
    <t>2315209962</t>
  </si>
  <si>
    <t xml:space="preserve">18-01-2019 00:00:00</t>
  </si>
  <si>
    <t>30924603</t>
  </si>
  <si>
    <t xml:space="preserve">ООО "ТеплоЭнергоКом"</t>
  </si>
  <si>
    <t>2318041041</t>
  </si>
  <si>
    <t>231801001</t>
  </si>
  <si>
    <t>26354999</t>
  </si>
  <si>
    <t xml:space="preserve">ООО "Тепловик"</t>
  </si>
  <si>
    <t>2301036935</t>
  </si>
  <si>
    <t>26516342</t>
  </si>
  <si>
    <t xml:space="preserve">ООО "Тепловые сети Апшеронского района"</t>
  </si>
  <si>
    <t>2325020959</t>
  </si>
  <si>
    <t>232501001</t>
  </si>
  <si>
    <t>31319623</t>
  </si>
  <si>
    <t xml:space="preserve">ООО "Теплопрофиль"</t>
  </si>
  <si>
    <t>2312279619</t>
  </si>
  <si>
    <t xml:space="preserve">21-06-2019 00:00:00</t>
  </si>
  <si>
    <t>31624807</t>
  </si>
  <si>
    <t xml:space="preserve">ООО "Теплоресурс"</t>
  </si>
  <si>
    <t>2312312048</t>
  </si>
  <si>
    <t>31062642</t>
  </si>
  <si>
    <t xml:space="preserve">ООО "Теплосервис"</t>
  </si>
  <si>
    <t>2309142519</t>
  </si>
  <si>
    <t xml:space="preserve">27-02-2018 00:00:00</t>
  </si>
  <si>
    <t>26355033</t>
  </si>
  <si>
    <t xml:space="preserve">ООО "Теплосервис-2000"</t>
  </si>
  <si>
    <t>2309080140</t>
  </si>
  <si>
    <t>26532030</t>
  </si>
  <si>
    <t xml:space="preserve">ООО "Теплосети"</t>
  </si>
  <si>
    <t>2333011450</t>
  </si>
  <si>
    <t>233301001</t>
  </si>
  <si>
    <t>31488189</t>
  </si>
  <si>
    <t xml:space="preserve">ООО "Теплосеть"</t>
  </si>
  <si>
    <t>2311311330</t>
  </si>
  <si>
    <t xml:space="preserve">24-02-2021 00:00:00</t>
  </si>
  <si>
    <t>31022266</t>
  </si>
  <si>
    <t xml:space="preserve">ООО "Теплоснабжающая компания"</t>
  </si>
  <si>
    <t>2365026587</t>
  </si>
  <si>
    <t xml:space="preserve">15-03-2017 00:00:00</t>
  </si>
  <si>
    <t>30992313</t>
  </si>
  <si>
    <t xml:space="preserve">ООО "Теплоэнергетик"</t>
  </si>
  <si>
    <t>2311241073</t>
  </si>
  <si>
    <t xml:space="preserve">21-07-2017 00:00:00</t>
  </si>
  <si>
    <t>26529467</t>
  </si>
  <si>
    <t xml:space="preserve">ООО "Теплоэнергетическая компания"</t>
  </si>
  <si>
    <t>2337032892</t>
  </si>
  <si>
    <t>233701001</t>
  </si>
  <si>
    <t>26493650</t>
  </si>
  <si>
    <t xml:space="preserve">ООО "Теплоэнергодар"</t>
  </si>
  <si>
    <t>2315147890</t>
  </si>
  <si>
    <t>31528072</t>
  </si>
  <si>
    <t xml:space="preserve">ООО "Теплый Город"</t>
  </si>
  <si>
    <t>2315216617</t>
  </si>
  <si>
    <t xml:space="preserve">10-11-2021 00:00:00</t>
  </si>
  <si>
    <t>30802627</t>
  </si>
  <si>
    <t xml:space="preserve">ООО "ТермоТрон"</t>
  </si>
  <si>
    <t>5024159342</t>
  </si>
  <si>
    <t>502401001</t>
  </si>
  <si>
    <t xml:space="preserve">02-11-2015 00:00:00</t>
  </si>
  <si>
    <t>31216672</t>
  </si>
  <si>
    <t xml:space="preserve">ООО "ТехноГарант"</t>
  </si>
  <si>
    <t>2312264965</t>
  </si>
  <si>
    <t xml:space="preserve">31-10-2018 00:00:00</t>
  </si>
  <si>
    <t>31513849</t>
  </si>
  <si>
    <t xml:space="preserve">ООО "Технология"</t>
  </si>
  <si>
    <t>7718286207</t>
  </si>
  <si>
    <t xml:space="preserve">24-08-2021 00:00:00</t>
  </si>
  <si>
    <t>28828091</t>
  </si>
  <si>
    <t xml:space="preserve">ООО "ТихорецкЭнерго"</t>
  </si>
  <si>
    <t>2360007809</t>
  </si>
  <si>
    <t>31450860</t>
  </si>
  <si>
    <t xml:space="preserve">ООО "ТрансКавказ"</t>
  </si>
  <si>
    <t>2365019967</t>
  </si>
  <si>
    <t xml:space="preserve">13-08-2012 00:00:00</t>
  </si>
  <si>
    <t>30847614</t>
  </si>
  <si>
    <t xml:space="preserve">ООО "Триумф плюс"</t>
  </si>
  <si>
    <t>2372018227</t>
  </si>
  <si>
    <t>237201001</t>
  </si>
  <si>
    <t xml:space="preserve">07-09-2016 00:00:00</t>
  </si>
  <si>
    <t>31204359</t>
  </si>
  <si>
    <t xml:space="preserve">ООО "УК "Оптимум сервис"</t>
  </si>
  <si>
    <t>2320246141</t>
  </si>
  <si>
    <t xml:space="preserve">17-02-2017 00:00:00</t>
  </si>
  <si>
    <t>26355026</t>
  </si>
  <si>
    <t xml:space="preserve">ООО "Универсал-Плюс-Сервис"</t>
  </si>
  <si>
    <t>2308068559</t>
  </si>
  <si>
    <t xml:space="preserve">06-01-2003 00:00:00</t>
  </si>
  <si>
    <t>31336346</t>
  </si>
  <si>
    <t xml:space="preserve">ООО "Управляющая компания "Индустриальный парк Краснодар"</t>
  </si>
  <si>
    <t>2311209369</t>
  </si>
  <si>
    <t xml:space="preserve">24-03-2016 00:00:00</t>
  </si>
  <si>
    <t>26516316</t>
  </si>
  <si>
    <t xml:space="preserve">ООО "Усть-Лабинскгазстрой"</t>
  </si>
  <si>
    <t>2356036356</t>
  </si>
  <si>
    <t>31527914</t>
  </si>
  <si>
    <t xml:space="preserve">ООО "Фирма "Баланс"</t>
  </si>
  <si>
    <t>2365028009</t>
  </si>
  <si>
    <t xml:space="preserve">30-07-2018 00:00:00</t>
  </si>
  <si>
    <t>26318591</t>
  </si>
  <si>
    <t xml:space="preserve">ООО "Хоста"</t>
  </si>
  <si>
    <t>2319018550</t>
  </si>
  <si>
    <t>31190212</t>
  </si>
  <si>
    <t xml:space="preserve">ООО "Хранитель"</t>
  </si>
  <si>
    <t>2310158305</t>
  </si>
  <si>
    <t xml:space="preserve">15-11-2011 00:00:00</t>
  </si>
  <si>
    <t>31491578</t>
  </si>
  <si>
    <t xml:space="preserve">ООО "ЦУП ЖКХ"</t>
  </si>
  <si>
    <t>7811207760</t>
  </si>
  <si>
    <t>781101001</t>
  </si>
  <si>
    <t xml:space="preserve">11-06-2015 00:00:00</t>
  </si>
  <si>
    <t>26355085</t>
  </si>
  <si>
    <t xml:space="preserve">ООО "Черномормебель ТЭН"</t>
  </si>
  <si>
    <t>2315118923</t>
  </si>
  <si>
    <t>27873181</t>
  </si>
  <si>
    <t xml:space="preserve">ООО "ЭНЕРГОГАРАНТ"</t>
  </si>
  <si>
    <t>2319050916</t>
  </si>
  <si>
    <t>31579640</t>
  </si>
  <si>
    <t xml:space="preserve">ООО "ЭТК"</t>
  </si>
  <si>
    <t>2311327242</t>
  </si>
  <si>
    <t xml:space="preserve">26-11-2021 00:00:00</t>
  </si>
  <si>
    <t>26355063</t>
  </si>
  <si>
    <t xml:space="preserve">ООО "ЭкоСервис"</t>
  </si>
  <si>
    <t>2312143375</t>
  </si>
  <si>
    <t>31354314</t>
  </si>
  <si>
    <t xml:space="preserve">ООО "Энерго"</t>
  </si>
  <si>
    <t>2365028810</t>
  </si>
  <si>
    <t xml:space="preserve">12-08-2019 00:00:00</t>
  </si>
  <si>
    <t>30849318</t>
  </si>
  <si>
    <t xml:space="preserve">ООО "ЮТЭК"</t>
  </si>
  <si>
    <t>2365004174</t>
  </si>
  <si>
    <t xml:space="preserve">29-02-2008 00:00:00</t>
  </si>
  <si>
    <t>31222847</t>
  </si>
  <si>
    <t>2365027206</t>
  </si>
  <si>
    <t xml:space="preserve">09-10-2017 00:00:00</t>
  </si>
  <si>
    <t>28221002</t>
  </si>
  <si>
    <t xml:space="preserve">ООО "ЮТЭП"</t>
  </si>
  <si>
    <t>2311151510</t>
  </si>
  <si>
    <t xml:space="preserve">28-11-2012 00:00:00</t>
  </si>
  <si>
    <t>26562795</t>
  </si>
  <si>
    <t xml:space="preserve">ООО "Юг-Теплосервис"</t>
  </si>
  <si>
    <t>2348031322</t>
  </si>
  <si>
    <t>31002183</t>
  </si>
  <si>
    <t xml:space="preserve">ООО "ЮгСети"</t>
  </si>
  <si>
    <t>2312258464</t>
  </si>
  <si>
    <t xml:space="preserve">10-04-2017 00:00:00</t>
  </si>
  <si>
    <t>31020957</t>
  </si>
  <si>
    <t xml:space="preserve">ООО "ЮгТеплоЭнерго"</t>
  </si>
  <si>
    <t>2312214724</t>
  </si>
  <si>
    <t xml:space="preserve">01-11-2017 00:00:00</t>
  </si>
  <si>
    <t>31524191</t>
  </si>
  <si>
    <t xml:space="preserve">ООО "ЮгЭнергоИнвест"</t>
  </si>
  <si>
    <t>2312294984</t>
  </si>
  <si>
    <t xml:space="preserve">30-09-2020 00:00:00</t>
  </si>
  <si>
    <t>26355049</t>
  </si>
  <si>
    <t xml:space="preserve">ООО «КСТК»</t>
  </si>
  <si>
    <t>2311050329</t>
  </si>
  <si>
    <t>26355120</t>
  </si>
  <si>
    <t xml:space="preserve">ООО «Каневской ЗГА»</t>
  </si>
  <si>
    <t>2334013965</t>
  </si>
  <si>
    <t>31470151</t>
  </si>
  <si>
    <t xml:space="preserve">ООО «ТТК»</t>
  </si>
  <si>
    <t>2311305369</t>
  </si>
  <si>
    <t xml:space="preserve">12-05-2020 00:00:00</t>
  </si>
  <si>
    <t>26355042</t>
  </si>
  <si>
    <t xml:space="preserve">ООО «Центр содействия бизнесу «ПИК»</t>
  </si>
  <si>
    <t>2310078603</t>
  </si>
  <si>
    <t xml:space="preserve">30-11-2002 00:00:00</t>
  </si>
  <si>
    <t>26355009</t>
  </si>
  <si>
    <t xml:space="preserve">ООО ККП "Геленджиккурорт"</t>
  </si>
  <si>
    <t>2304034654</t>
  </si>
  <si>
    <t>31416125</t>
  </si>
  <si>
    <t xml:space="preserve">ООО МЭЗ "Ресурс"</t>
  </si>
  <si>
    <t>2631805988</t>
  </si>
  <si>
    <t>263101001</t>
  </si>
  <si>
    <t xml:space="preserve">01-01-2020 00:00:00</t>
  </si>
  <si>
    <t>27812794</t>
  </si>
  <si>
    <t xml:space="preserve">ООО ПЗ "Наша Родина"</t>
  </si>
  <si>
    <t>2329023728</t>
  </si>
  <si>
    <t>31387224</t>
  </si>
  <si>
    <t xml:space="preserve">ООО СЗ "НОВОСФЕРА"</t>
  </si>
  <si>
    <t>2311136390</t>
  </si>
  <si>
    <t xml:space="preserve">07-07-2011 00:00:00</t>
  </si>
  <si>
    <t>31520978</t>
  </si>
  <si>
    <t xml:space="preserve">ООО СЗ Кислород</t>
  </si>
  <si>
    <t>2367015397</t>
  </si>
  <si>
    <t>31520972</t>
  </si>
  <si>
    <t xml:space="preserve">ООО СК ИСК Еврострой</t>
  </si>
  <si>
    <t>2304069946</t>
  </si>
  <si>
    <t>31455451</t>
  </si>
  <si>
    <t xml:space="preserve">ООО УК "Домус"</t>
  </si>
  <si>
    <t>2311308063</t>
  </si>
  <si>
    <t xml:space="preserve">03-12-2020 00:00:00</t>
  </si>
  <si>
    <t>30438799</t>
  </si>
  <si>
    <t xml:space="preserve">ООО УК "Заречье"</t>
  </si>
  <si>
    <t>2365021934</t>
  </si>
  <si>
    <t xml:space="preserve">08-04-2016 00:00:00</t>
  </si>
  <si>
    <t>30858178</t>
  </si>
  <si>
    <t xml:space="preserve">ООО ФИК "Бизнес Проект"</t>
  </si>
  <si>
    <t>2309136240</t>
  </si>
  <si>
    <t xml:space="preserve">09-12-2016 00:00:00</t>
  </si>
  <si>
    <t>31635406</t>
  </si>
  <si>
    <t xml:space="preserve">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</si>
  <si>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</si>
  <si>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</si>
  <si>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</si>
  <si>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 xml:space="preserve">Общество с ограниченной отвественностью "Комфорт Сити"</t>
  </si>
  <si>
    <t>2301094373</t>
  </si>
  <si>
    <t xml:space="preserve">02-05-2017 00:00:00</t>
  </si>
  <si>
    <t>26355119</t>
  </si>
  <si>
    <t xml:space="preserve">ПАО "Каневсксахар"</t>
  </si>
  <si>
    <t>2334005403</t>
  </si>
  <si>
    <t>26530248</t>
  </si>
  <si>
    <t xml:space="preserve">ПАО "Новороссийский морской торговый порт"</t>
  </si>
  <si>
    <t>2315004404</t>
  </si>
  <si>
    <t>26814881</t>
  </si>
  <si>
    <t xml:space="preserve">ПАО "Сургутнефтегаз" Оздоровительный трест " Сургут"</t>
  </si>
  <si>
    <t>8602060555</t>
  </si>
  <si>
    <t>860201001</t>
  </si>
  <si>
    <t>26535421</t>
  </si>
  <si>
    <t xml:space="preserve">ПО "Дом торговли"</t>
  </si>
  <si>
    <t>2329017940</t>
  </si>
  <si>
    <t>26359319</t>
  </si>
  <si>
    <t xml:space="preserve">СХК "Донагрокурорт" Филиал - санаторий "Тихий Дон"</t>
  </si>
  <si>
    <t>6163051203</t>
  </si>
  <si>
    <t>231802001</t>
  </si>
  <si>
    <t xml:space="preserve">20-02-1998 00:00:00</t>
  </si>
  <si>
    <t>26816056</t>
  </si>
  <si>
    <t xml:space="preserve">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</si>
  <si>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</si>
  <si>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</si>
  <si>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</si>
  <si>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 xml:space="preserve">Северо-Кавказский филиал ООО "Газпром энерго"</t>
  </si>
  <si>
    <t>7736186950</t>
  </si>
  <si>
    <t>263602001</t>
  </si>
  <si>
    <t xml:space="preserve">27-07-1998 00:00:00</t>
  </si>
  <si>
    <t>26355090</t>
  </si>
  <si>
    <t xml:space="preserve">Служба охраны на Кавказе ФСО России</t>
  </si>
  <si>
    <t>2319019338</t>
  </si>
  <si>
    <t>30352172</t>
  </si>
  <si>
    <t xml:space="preserve">ТСЖ ЖК "Солнечный"</t>
  </si>
  <si>
    <t>2311131112</t>
  </si>
  <si>
    <t xml:space="preserve">12-01-2011 00:00:00</t>
  </si>
  <si>
    <t>30876488</t>
  </si>
  <si>
    <t xml:space="preserve">Туапсинский Филиал ООО "Газпром теплоэнерго Краснодар"</t>
  </si>
  <si>
    <t>26531972</t>
  </si>
  <si>
    <t xml:space="preserve">ФБУ ИК-4 УФСИН России по Краснодарскому краю</t>
  </si>
  <si>
    <t>2302031224</t>
  </si>
  <si>
    <t>26355151</t>
  </si>
  <si>
    <t xml:space="preserve">ФГАУ "Дом отдыха "Туапсе"  Управление делами Президента РФ</t>
  </si>
  <si>
    <t>2355004425</t>
  </si>
  <si>
    <t xml:space="preserve">03-12-2002 00:00:00</t>
  </si>
  <si>
    <t>26507578</t>
  </si>
  <si>
    <t xml:space="preserve">ФГБНУ "НЦЗ им. П.П. Лукьяненко"</t>
  </si>
  <si>
    <t>2311014916</t>
  </si>
  <si>
    <t xml:space="preserve">12-10-2002 00:00:00</t>
  </si>
  <si>
    <t>26355150</t>
  </si>
  <si>
    <t xml:space="preserve">ФГБОУ ВДЦ "Орленок"</t>
  </si>
  <si>
    <t>2355004390</t>
  </si>
  <si>
    <t>28859259</t>
  </si>
  <si>
    <t xml:space="preserve">ФГБОУ ВО "КГИК"</t>
  </si>
  <si>
    <t>2311021085</t>
  </si>
  <si>
    <t>26355037</t>
  </si>
  <si>
    <t xml:space="preserve">ФГБОУ ВО КубГТУ</t>
  </si>
  <si>
    <t>2310018876</t>
  </si>
  <si>
    <t>26653552</t>
  </si>
  <si>
    <t xml:space="preserve">ФГБУ "Краснодарская МВЛ"</t>
  </si>
  <si>
    <t>2308034630</t>
  </si>
  <si>
    <t>26528683</t>
  </si>
  <si>
    <t xml:space="preserve">ФГБУ "Объединённый санаторий "Русь"</t>
  </si>
  <si>
    <t>2319023817</t>
  </si>
  <si>
    <t>30903763</t>
  </si>
  <si>
    <t xml:space="preserve">ФГБУ "ЦЖКУ" МИНОБОРОНЫ РОССИИ</t>
  </si>
  <si>
    <t>7729314745</t>
  </si>
  <si>
    <t>770101001</t>
  </si>
  <si>
    <t>31209568</t>
  </si>
  <si>
    <t xml:space="preserve">ФГБУ "Юг Спорт"</t>
  </si>
  <si>
    <t>2319056379</t>
  </si>
  <si>
    <t xml:space="preserve">22-10-2018 00:00:00</t>
  </si>
  <si>
    <t>28828283</t>
  </si>
  <si>
    <t xml:space="preserve">ФГКОУ ИБО ФСБ России</t>
  </si>
  <si>
    <t>2301064107</t>
  </si>
  <si>
    <t xml:space="preserve">30-11-2011 00:00:00</t>
  </si>
  <si>
    <t>26355092</t>
  </si>
  <si>
    <t xml:space="preserve">ФГКУ "ЦКС им. Ф.Э.Дзержинского ФСБ России"</t>
  </si>
  <si>
    <t>2320054778</t>
  </si>
  <si>
    <t>30993299</t>
  </si>
  <si>
    <t xml:space="preserve">ФГКУЗ "Санаторий "Солнечный" войск национальной гвардии Российской Федерации"</t>
  </si>
  <si>
    <t>2355000438</t>
  </si>
  <si>
    <t xml:space="preserve">14-09-1993 00:00:00</t>
  </si>
  <si>
    <t>26355052</t>
  </si>
  <si>
    <t xml:space="preserve">ФГУП "ЖКК"</t>
  </si>
  <si>
    <t>2311215718</t>
  </si>
  <si>
    <t xml:space="preserve">20-06-2016 00:00:00</t>
  </si>
  <si>
    <t>26355133</t>
  </si>
  <si>
    <t xml:space="preserve">ФКП "Армавирская биофабрика"</t>
  </si>
  <si>
    <t>2343003392</t>
  </si>
  <si>
    <t xml:space="preserve">08-11-2002 00:00:00</t>
  </si>
  <si>
    <t>26355091</t>
  </si>
  <si>
    <t xml:space="preserve">ФКУ «Санаторий Правда»</t>
  </si>
  <si>
    <t>2319022330</t>
  </si>
  <si>
    <t>26355157</t>
  </si>
  <si>
    <t xml:space="preserve">ФКУ ИК-3 УФСИН России по Краснодарскому краю</t>
  </si>
  <si>
    <t>2356037800</t>
  </si>
  <si>
    <t>26355088</t>
  </si>
  <si>
    <t xml:space="preserve">ФКУЗ "Санаторий "Искра" МВД России"</t>
  </si>
  <si>
    <t>2319018052</t>
  </si>
  <si>
    <t>27579515</t>
  </si>
  <si>
    <t xml:space="preserve">ФКУЗ "Санаторий "Прогресс" МВД России</t>
  </si>
  <si>
    <t>2319023221</t>
  </si>
  <si>
    <t>26355152</t>
  </si>
  <si>
    <t xml:space="preserve">ФКУЗ "Санаторий "Сосновый" МВД России</t>
  </si>
  <si>
    <t>2355004898</t>
  </si>
  <si>
    <t xml:space="preserve">31-10-2002 00:00:00</t>
  </si>
  <si>
    <t>31641695</t>
  </si>
  <si>
    <t xml:space="preserve">Филиал "Джубга" ООО "АСУ-Сервис"</t>
  </si>
  <si>
    <t xml:space="preserve">14-09-2022 00:00:00</t>
  </si>
  <si>
    <t>31663486</t>
  </si>
  <si>
    <t xml:space="preserve">Филиал "ЛТС" ООО "СПКК"</t>
  </si>
  <si>
    <t>237143001</t>
  </si>
  <si>
    <t xml:space="preserve">06-12-2019 00:00:00</t>
  </si>
  <si>
    <t>31635591</t>
  </si>
  <si>
    <t xml:space="preserve">Филиал "СЕВЕРСКИЙ" ООО "АСУ-Сервис"</t>
  </si>
  <si>
    <t>234843001</t>
  </si>
  <si>
    <t xml:space="preserve">15-11-2022 00:00:00</t>
  </si>
  <si>
    <t>31491315</t>
  </si>
  <si>
    <t xml:space="preserve">Филиал "СИС" ООО "ЦУП ЖКХ"</t>
  </si>
  <si>
    <t xml:space="preserve">05-06-2020 00:00:00</t>
  </si>
  <si>
    <t>26355083</t>
  </si>
  <si>
    <t xml:space="preserve">Филиал «УПП № 422» ФГУП «ГУСС»</t>
  </si>
  <si>
    <t>26361070</t>
  </si>
  <si>
    <t xml:space="preserve">Филиал №1 ЗАО МПБК "Очаково"</t>
  </si>
  <si>
    <t>7729101200</t>
  </si>
  <si>
    <t>231102001</t>
  </si>
  <si>
    <t>26653550</t>
  </si>
  <si>
    <t xml:space="preserve">Филиал АО "АТЭК" "Абинские тепловые сети"</t>
  </si>
  <si>
    <t>2312054894</t>
  </si>
  <si>
    <t>232343001</t>
  </si>
  <si>
    <t xml:space="preserve">12-10-2010 00:00:00</t>
  </si>
  <si>
    <t>27581284</t>
  </si>
  <si>
    <t xml:space="preserve">Филиал АО "АТЭК" "Гулькевичские тепловые сети"</t>
  </si>
  <si>
    <t>27683182</t>
  </si>
  <si>
    <t xml:space="preserve">Филиал АО "АТЭК" "Краснодартеплоэнерго"</t>
  </si>
  <si>
    <t>231243001</t>
  </si>
  <si>
    <t xml:space="preserve">12-05-2011 00:00:00</t>
  </si>
  <si>
    <t>26823285</t>
  </si>
  <si>
    <t xml:space="preserve">Филиал АО "Черномортранснефть" "КРУМН"</t>
  </si>
  <si>
    <t>26761123</t>
  </si>
  <si>
    <t xml:space="preserve">Филиал АО "Черномортранснефть" "ТРУМН"</t>
  </si>
  <si>
    <t>232103001</t>
  </si>
  <si>
    <t>27710026</t>
  </si>
  <si>
    <t xml:space="preserve">Филиал ОАО "РЭУ" "Сочинский"</t>
  </si>
  <si>
    <t>7714783092</t>
  </si>
  <si>
    <t>231943002</t>
  </si>
  <si>
    <t xml:space="preserve">18-06-2009 00:00:00</t>
  </si>
  <si>
    <t>31503844</t>
  </si>
  <si>
    <t xml:space="preserve">Филиал ООО "КТИ" "Темрюкские Тепловые Сети"</t>
  </si>
  <si>
    <t>235243001</t>
  </si>
  <si>
    <t>31493295</t>
  </si>
  <si>
    <t xml:space="preserve">Филиал ООО "МЭС" г. Горячий Ключ</t>
  </si>
  <si>
    <t xml:space="preserve">20-11-2020 00:00:00</t>
  </si>
  <si>
    <t>31632789</t>
  </si>
  <si>
    <t xml:space="preserve">Филиал ООО "МЭС" пгт. Мостовской</t>
  </si>
  <si>
    <t>237743001</t>
  </si>
  <si>
    <t xml:space="preserve">07-10-2022 00:00:00</t>
  </si>
  <si>
    <t>26640656</t>
  </si>
  <si>
    <t xml:space="preserve">ЮО ИО РАН</t>
  </si>
  <si>
    <t>7727083115</t>
  </si>
  <si>
    <t>230402001</t>
  </si>
  <si>
    <t>30856184</t>
  </si>
  <si>
    <t xml:space="preserve">филиал "ЕИС" ООО "ЦУП ЖКХ"</t>
  </si>
  <si>
    <t>236143001</t>
  </si>
  <si>
    <t>31617884</t>
  </si>
  <si>
    <t xml:space="preserve">филиал "Прогресс" ООО "АСУ-Сервис"</t>
  </si>
  <si>
    <t>27673464</t>
  </si>
  <si>
    <t xml:space="preserve">филиал "Сочинская ТЭС" АО "Интер РАО - Электрогенерация"</t>
  </si>
  <si>
    <t>231943001</t>
  </si>
  <si>
    <t>26472933</t>
  </si>
  <si>
    <t xml:space="preserve">филиал АО "АТЭК"  "Новороссийские тепловые сети"</t>
  </si>
  <si>
    <t>26505597</t>
  </si>
  <si>
    <t xml:space="preserve">филиал АО "АТЭК"  "Тимашевские тепловые сети"</t>
  </si>
  <si>
    <t>236943001</t>
  </si>
  <si>
    <t xml:space="preserve">01-07-2011 00:00:00</t>
  </si>
  <si>
    <t>28817151</t>
  </si>
  <si>
    <t xml:space="preserve">филиал АО "РТСК" "Новоростепло"</t>
  </si>
  <si>
    <t>231543001</t>
  </si>
  <si>
    <t>31448028</t>
  </si>
  <si>
    <t xml:space="preserve">филиал ООО "МЭС" с. Успенское</t>
  </si>
  <si>
    <t xml:space="preserve">01-10-2020 00:00:00</t>
  </si>
  <si>
    <t>31079963</t>
  </si>
  <si>
    <t xml:space="preserve">филиал ООО "РН-Транспорт"  в г. Славянск-на-Кубани</t>
  </si>
  <si>
    <t>0274089610</t>
  </si>
  <si>
    <t>237043001</t>
  </si>
  <si>
    <t xml:space="preserve">01-03-2018 00:00:00</t>
  </si>
  <si>
    <t>26809129</t>
  </si>
  <si>
    <t>30414883</t>
  </si>
  <si>
    <t xml:space="preserve">ОП "Краснодарское" АО "ГУ ЖКХ"</t>
  </si>
  <si>
    <t>230845001</t>
  </si>
  <si>
    <t xml:space="preserve">12-10-2015 00:00:00</t>
  </si>
  <si>
    <t>31283668</t>
  </si>
  <si>
    <t xml:space="preserve">"НПХ "Кореновское" - филиал ФГБНУ "НЦЗ имени П.П. Лукьяненко"</t>
  </si>
  <si>
    <t>237343001</t>
  </si>
  <si>
    <t xml:space="preserve">28-12-2018 00:00:00</t>
  </si>
  <si>
    <t>26468813</t>
  </si>
  <si>
    <t xml:space="preserve">«Новобейсугское» МУМП ЖКХ</t>
  </si>
  <si>
    <t>2328015805</t>
  </si>
  <si>
    <t xml:space="preserve">27-12-2005 00:00:00</t>
  </si>
  <si>
    <t>31540512</t>
  </si>
  <si>
    <t xml:space="preserve">АО "Агрокомплекс Павловский"</t>
  </si>
  <si>
    <t>2360014203</t>
  </si>
  <si>
    <t xml:space="preserve">22-11-2021 00:00:00</t>
  </si>
  <si>
    <t>30477549</t>
  </si>
  <si>
    <t xml:space="preserve">АО "Адлеркурорт"</t>
  </si>
  <si>
    <t>2317010611</t>
  </si>
  <si>
    <t>26473799</t>
  </si>
  <si>
    <t xml:space="preserve">АО "База отдыха "Энергетик"</t>
  </si>
  <si>
    <t>2355016847</t>
  </si>
  <si>
    <t>235501001</t>
  </si>
  <si>
    <t xml:space="preserve">10-11-2003 00:00:00</t>
  </si>
  <si>
    <t>26468699</t>
  </si>
  <si>
    <t xml:space="preserve">АО "Водоканал Апшеронского района"</t>
  </si>
  <si>
    <t>2325019287</t>
  </si>
  <si>
    <t xml:space="preserve">06-09-2012 00:00:00</t>
  </si>
  <si>
    <t>26471627</t>
  </si>
  <si>
    <t xml:space="preserve">АО "Водопровод"</t>
  </si>
  <si>
    <t>2356047502</t>
  </si>
  <si>
    <t>26471263</t>
  </si>
  <si>
    <t xml:space="preserve">АО "КЗ "Восход"</t>
  </si>
  <si>
    <t>2343011851</t>
  </si>
  <si>
    <t xml:space="preserve">06-11-2002 00:00:00</t>
  </si>
  <si>
    <t>26532020</t>
  </si>
  <si>
    <t xml:space="preserve">АО "Краснодарское" по искусственному осеменению сельскохозяйственных животных</t>
  </si>
  <si>
    <t>2311096482</t>
  </si>
  <si>
    <t xml:space="preserve">19-02-2007 00:00:00</t>
  </si>
  <si>
    <t>26470925</t>
  </si>
  <si>
    <t xml:space="preserve">АО "МОК "Братковский"</t>
  </si>
  <si>
    <t>2335012072</t>
  </si>
  <si>
    <t>26471366</t>
  </si>
  <si>
    <t xml:space="preserve">АО "Новопластуновское"</t>
  </si>
  <si>
    <t>2346000311</t>
  </si>
  <si>
    <t xml:space="preserve">16-03-2007 00:00:00</t>
  </si>
  <si>
    <t>31020948</t>
  </si>
  <si>
    <t xml:space="preserve">АО "Объединение"</t>
  </si>
  <si>
    <t>2309145245</t>
  </si>
  <si>
    <t>26760696</t>
  </si>
  <si>
    <t xml:space="preserve">АО "Рассвет"</t>
  </si>
  <si>
    <t>2352031188</t>
  </si>
  <si>
    <t>235201001</t>
  </si>
  <si>
    <t xml:space="preserve">18-10-1999 00:00:00</t>
  </si>
  <si>
    <t>26471642</t>
  </si>
  <si>
    <t>2356045713</t>
  </si>
  <si>
    <t>26471320</t>
  </si>
  <si>
    <t xml:space="preserve">АО "Ровненский элеватор"</t>
  </si>
  <si>
    <t>2344007569</t>
  </si>
  <si>
    <t xml:space="preserve">04-11-2002 00:00:00</t>
  </si>
  <si>
    <t>26473304</t>
  </si>
  <si>
    <t xml:space="preserve">АО "Содружество 92"</t>
  </si>
  <si>
    <t>2330015915</t>
  </si>
  <si>
    <t>26375481</t>
  </si>
  <si>
    <t xml:space="preserve">АО "Ульяновсккурорт"</t>
  </si>
  <si>
    <t>7325007322</t>
  </si>
  <si>
    <t>732101001</t>
  </si>
  <si>
    <t>28827616</t>
  </si>
  <si>
    <t xml:space="preserve">АО «АТЭК»</t>
  </si>
  <si>
    <t xml:space="preserve">04-10-2002 00:00:00</t>
  </si>
  <si>
    <t>26468197</t>
  </si>
  <si>
    <t xml:space="preserve">АО «Анапа Водоканал»</t>
  </si>
  <si>
    <t>2301078639</t>
  </si>
  <si>
    <t xml:space="preserve">21-12-2011 00:00:00</t>
  </si>
  <si>
    <t>28038167</t>
  </si>
  <si>
    <t xml:space="preserve">АО фирма "Геленджик-Отель"</t>
  </si>
  <si>
    <t>2304011618</t>
  </si>
  <si>
    <t>30946461</t>
  </si>
  <si>
    <t xml:space="preserve">Азово-Донской филиал ФГБУ "Главрыбвод"</t>
  </si>
  <si>
    <t>7708044880</t>
  </si>
  <si>
    <t>616243001</t>
  </si>
  <si>
    <t xml:space="preserve">28-08-2017 00:00:00</t>
  </si>
  <si>
    <t>26473547</t>
  </si>
  <si>
    <t xml:space="preserve">Ахтарское МУП ЖКХ</t>
  </si>
  <si>
    <t>2347012905</t>
  </si>
  <si>
    <t xml:space="preserve">02-04-2007 00:00:00</t>
  </si>
  <si>
    <t>26468795</t>
  </si>
  <si>
    <t xml:space="preserve">Бейсужекское ММУП ЖКХ</t>
  </si>
  <si>
    <t>2328016005</t>
  </si>
  <si>
    <t>26468801</t>
  </si>
  <si>
    <t xml:space="preserve">Бузиновское  МУМП ЖКХ</t>
  </si>
  <si>
    <t>2328015900</t>
  </si>
  <si>
    <t>28003787</t>
  </si>
  <si>
    <t xml:space="preserve">ГБУЗ "Курганинская ЦРБ"</t>
  </si>
  <si>
    <t>2339006182</t>
  </si>
  <si>
    <t xml:space="preserve">05-12-2012 00:00:00</t>
  </si>
  <si>
    <t>26468558</t>
  </si>
  <si>
    <t xml:space="preserve">ГБУЗ "СПБ № 7"</t>
  </si>
  <si>
    <t>2311038748</t>
  </si>
  <si>
    <t xml:space="preserve">28-01-2003 00:00:00</t>
  </si>
  <si>
    <t>28878204</t>
  </si>
  <si>
    <t xml:space="preserve">ГУП КК "Кубаньводкомплекс"</t>
  </si>
  <si>
    <t>2310010637</t>
  </si>
  <si>
    <t xml:space="preserve">29-01-2015 00:00:00</t>
  </si>
  <si>
    <t>26537654</t>
  </si>
  <si>
    <t xml:space="preserve">ГУП КК СВВУК "Курганинский групповой водопровод"</t>
  </si>
  <si>
    <t>2339015370</t>
  </si>
  <si>
    <t>26468683</t>
  </si>
  <si>
    <t xml:space="preserve">ЗАО "Абинсктрактороцентр"</t>
  </si>
  <si>
    <t>2323000604</t>
  </si>
  <si>
    <t xml:space="preserve">09-09-2011 00:00:00</t>
  </si>
  <si>
    <t>26471440</t>
  </si>
  <si>
    <t xml:space="preserve">ЗАО "Агрофирма "Дружба"</t>
  </si>
  <si>
    <t>2351009486</t>
  </si>
  <si>
    <t>26471434</t>
  </si>
  <si>
    <t xml:space="preserve">ЗАО "Алексеетенгинское"</t>
  </si>
  <si>
    <t>2351005587</t>
  </si>
  <si>
    <t>26760812</t>
  </si>
  <si>
    <t xml:space="preserve">ЗАО "Дионис М"</t>
  </si>
  <si>
    <t>2301046852</t>
  </si>
  <si>
    <t xml:space="preserve">30-01-2003 00:00:00</t>
  </si>
  <si>
    <t>26355142</t>
  </si>
  <si>
    <t xml:space="preserve">ЗАО "Марьинское"</t>
  </si>
  <si>
    <t>2351004520</t>
  </si>
  <si>
    <t>28460243</t>
  </si>
  <si>
    <t xml:space="preserve">ЗАО "Новоросцемремонт"</t>
  </si>
  <si>
    <t>2315004429</t>
  </si>
  <si>
    <t xml:space="preserve">14-01-2014 00:00:00</t>
  </si>
  <si>
    <t>26472875</t>
  </si>
  <si>
    <t xml:space="preserve">ЗАО "Пансионат "Джанхот"</t>
  </si>
  <si>
    <t>2304006760</t>
  </si>
  <si>
    <t>26319774</t>
  </si>
  <si>
    <t xml:space="preserve">ЗАО "Пансионат "Шепси"</t>
  </si>
  <si>
    <t>2355005066</t>
  </si>
  <si>
    <t xml:space="preserve">28-08-2002 00:00:00</t>
  </si>
  <si>
    <t>26473348</t>
  </si>
  <si>
    <t xml:space="preserve">ЗАО "Полтавские консервы"</t>
  </si>
  <si>
    <t>2336017877</t>
  </si>
  <si>
    <t>26470955</t>
  </si>
  <si>
    <t xml:space="preserve">ЗАО "Родник Кавказа"</t>
  </si>
  <si>
    <t>2338009649</t>
  </si>
  <si>
    <t>30362905</t>
  </si>
  <si>
    <t xml:space="preserve">ЗАО "Швейная фабрика "Славянская"</t>
  </si>
  <si>
    <t>2349031692</t>
  </si>
  <si>
    <t xml:space="preserve">02-06-2009 00:00:00</t>
  </si>
  <si>
    <t>26471253</t>
  </si>
  <si>
    <t xml:space="preserve">ЗАО КСП "Хуторок"</t>
  </si>
  <si>
    <t>2343012990</t>
  </si>
  <si>
    <t>26471268</t>
  </si>
  <si>
    <t xml:space="preserve">ЗАО имени Мичурина</t>
  </si>
  <si>
    <t>2343013168</t>
  </si>
  <si>
    <t xml:space="preserve">07-11-0002 00:00:00</t>
  </si>
  <si>
    <t>30859246</t>
  </si>
  <si>
    <t xml:space="preserve">ИП Быстрова Е.В.</t>
  </si>
  <si>
    <t>010500364387</t>
  </si>
  <si>
    <t xml:space="preserve">05-06-2006 00:00:00</t>
  </si>
  <si>
    <t>31401221</t>
  </si>
  <si>
    <t xml:space="preserve">ИП Кристя Э.В.</t>
  </si>
  <si>
    <t>230800586364</t>
  </si>
  <si>
    <t xml:space="preserve">20-02-2020 00:00:00</t>
  </si>
  <si>
    <t>31437128</t>
  </si>
  <si>
    <t xml:space="preserve">ИП Степанян А.А.</t>
  </si>
  <si>
    <t>237200515903</t>
  </si>
  <si>
    <t xml:space="preserve">15-04-2020 00:00:00</t>
  </si>
  <si>
    <t>28979484</t>
  </si>
  <si>
    <t xml:space="preserve">ИП Суманц С.Э.</t>
  </si>
  <si>
    <t>231001843031</t>
  </si>
  <si>
    <t xml:space="preserve">22-06-2015 00:00:00</t>
  </si>
  <si>
    <t>28493941</t>
  </si>
  <si>
    <t xml:space="preserve">ИП Толстых А.С.</t>
  </si>
  <si>
    <t>230906355938</t>
  </si>
  <si>
    <t xml:space="preserve">06-02-2006 00:00:00</t>
  </si>
  <si>
    <t>31313857</t>
  </si>
  <si>
    <t xml:space="preserve">Индивидуальный предприниматель Штомпель С.С.</t>
  </si>
  <si>
    <t>231307078645</t>
  </si>
  <si>
    <t xml:space="preserve">01-06-2017 00:00:00</t>
  </si>
  <si>
    <t xml:space="preserve">11-01-2023 00:00:00</t>
  </si>
  <si>
    <t>26468807</t>
  </si>
  <si>
    <t xml:space="preserve">Ирклиевское МУМП ЖКХ</t>
  </si>
  <si>
    <t>2328017369</t>
  </si>
  <si>
    <t xml:space="preserve">18-09-2006 00:00:00</t>
  </si>
  <si>
    <t>26473021</t>
  </si>
  <si>
    <t xml:space="preserve">Кавказский завод ЖБШ филиал ОАО "БЭТ"</t>
  </si>
  <si>
    <t>7708669867</t>
  </si>
  <si>
    <t>232902001</t>
  </si>
  <si>
    <t>26468809</t>
  </si>
  <si>
    <t xml:space="preserve">Крупское МП "ЖКХ"</t>
  </si>
  <si>
    <t>2328016100</t>
  </si>
  <si>
    <t>26470953</t>
  </si>
  <si>
    <t xml:space="preserve">Крыловское МУП "Водоканал"</t>
  </si>
  <si>
    <t>2338010877</t>
  </si>
  <si>
    <t>31309451</t>
  </si>
  <si>
    <t xml:space="preserve">МАУ "ЖКХ"</t>
  </si>
  <si>
    <t>2369007024</t>
  </si>
  <si>
    <t xml:space="preserve">07-03-2019 00:00:00</t>
  </si>
  <si>
    <t>31291339</t>
  </si>
  <si>
    <t xml:space="preserve">МБУ "Альянс"</t>
  </si>
  <si>
    <t>2373015571</t>
  </si>
  <si>
    <t xml:space="preserve">13-11-2018 00:00:00</t>
  </si>
  <si>
    <t>28980747</t>
  </si>
  <si>
    <t xml:space="preserve">МБУ "Возрождение"</t>
  </si>
  <si>
    <t>2356048249</t>
  </si>
  <si>
    <t>28286747</t>
  </si>
  <si>
    <t xml:space="preserve">МБУ "Восхождение"</t>
  </si>
  <si>
    <t>2356048175</t>
  </si>
  <si>
    <t xml:space="preserve">21-10-2013 00:00:00</t>
  </si>
  <si>
    <t>28144159</t>
  </si>
  <si>
    <t xml:space="preserve">МБУ "Голубицкая ПЭС"</t>
  </si>
  <si>
    <t>2352045737</t>
  </si>
  <si>
    <t xml:space="preserve">21-01-2013 00:00:00</t>
  </si>
  <si>
    <t>30913267</t>
  </si>
  <si>
    <t xml:space="preserve">МБУ "Город"</t>
  </si>
  <si>
    <t>2356045992</t>
  </si>
  <si>
    <t xml:space="preserve">26-04-2017 00:00:00</t>
  </si>
  <si>
    <t>26823668</t>
  </si>
  <si>
    <t xml:space="preserve">МБУ "Коммунальник"</t>
  </si>
  <si>
    <t>2327012262</t>
  </si>
  <si>
    <t xml:space="preserve">22-11-2010 00:00:00</t>
  </si>
  <si>
    <t>28142549</t>
  </si>
  <si>
    <t xml:space="preserve">МБУ "Криница"</t>
  </si>
  <si>
    <t>2327012939</t>
  </si>
  <si>
    <t xml:space="preserve">18-12-2012 00:00:00</t>
  </si>
  <si>
    <t>26835302</t>
  </si>
  <si>
    <t xml:space="preserve">МБУ "Рассвет"</t>
  </si>
  <si>
    <t>2356048425</t>
  </si>
  <si>
    <t>26530820</t>
  </si>
  <si>
    <t xml:space="preserve">МБУ "Сервис - Новое Село"</t>
  </si>
  <si>
    <t>2327011533</t>
  </si>
  <si>
    <t xml:space="preserve">10-11-2008 00:00:00</t>
  </si>
  <si>
    <t>31096364</t>
  </si>
  <si>
    <t xml:space="preserve">МБУ "Станичник"</t>
  </si>
  <si>
    <t>2356047943</t>
  </si>
  <si>
    <t>28017769</t>
  </si>
  <si>
    <t xml:space="preserve">МБУ "Старт"</t>
  </si>
  <si>
    <t>2356048048</t>
  </si>
  <si>
    <t>31002897</t>
  </si>
  <si>
    <t xml:space="preserve">МКП "Аквасервис"</t>
  </si>
  <si>
    <t>2377000304</t>
  </si>
  <si>
    <t>237701001</t>
  </si>
  <si>
    <t xml:space="preserve">10-10-2017 00:00:00</t>
  </si>
  <si>
    <t>26473529</t>
  </si>
  <si>
    <t xml:space="preserve">МКП "Горизонт"</t>
  </si>
  <si>
    <t>2346015999</t>
  </si>
  <si>
    <t xml:space="preserve">11-12-2008 00:00:00</t>
  </si>
  <si>
    <t>26473383</t>
  </si>
  <si>
    <t xml:space="preserve">МКП "Михайловское"</t>
  </si>
  <si>
    <t>2339015878</t>
  </si>
  <si>
    <t xml:space="preserve">18-01-2010 00:00:00</t>
  </si>
  <si>
    <t>26530647</t>
  </si>
  <si>
    <t xml:space="preserve">МКП "Новоалексеевское"</t>
  </si>
  <si>
    <t>2339018491</t>
  </si>
  <si>
    <t xml:space="preserve">25-06-2010 00:00:00</t>
  </si>
  <si>
    <t>31223116</t>
  </si>
  <si>
    <t xml:space="preserve">МКП "Партнер"</t>
  </si>
  <si>
    <t>2377000914</t>
  </si>
  <si>
    <t xml:space="preserve">23-03-2018 00:00:00</t>
  </si>
  <si>
    <t>30891119</t>
  </si>
  <si>
    <t xml:space="preserve">МКП "Прометей"</t>
  </si>
  <si>
    <t>2339023950</t>
  </si>
  <si>
    <t xml:space="preserve">21-10-2016 00:00:00</t>
  </si>
  <si>
    <t>26473397</t>
  </si>
  <si>
    <t xml:space="preserve">МКП "Темиргоевское"</t>
  </si>
  <si>
    <t>2339015780</t>
  </si>
  <si>
    <t>26473381</t>
  </si>
  <si>
    <t xml:space="preserve">МКП "Услуга"</t>
  </si>
  <si>
    <t>2339015691</t>
  </si>
  <si>
    <t>30814132</t>
  </si>
  <si>
    <t xml:space="preserve">МКП "Услуга" Екатериновского сельского поселения Щербиновского района</t>
  </si>
  <si>
    <t>2361004208</t>
  </si>
  <si>
    <t xml:space="preserve">28-01-2010 00:00:00</t>
  </si>
  <si>
    <t>31065850</t>
  </si>
  <si>
    <t xml:space="preserve">МКП ЖКХ "Старолеушковское сельское поселение"Павловского района</t>
  </si>
  <si>
    <t>2346016706</t>
  </si>
  <si>
    <t>30377609</t>
  </si>
  <si>
    <t xml:space="preserve">МКУ "АХЦ "Воронежский"</t>
  </si>
  <si>
    <t>2373008373</t>
  </si>
  <si>
    <t xml:space="preserve">01-12-2015 00:00:00</t>
  </si>
  <si>
    <t>26471322</t>
  </si>
  <si>
    <t xml:space="preserve">МКУ "Незамаевское"</t>
  </si>
  <si>
    <t>2344014005</t>
  </si>
  <si>
    <t xml:space="preserve">20-01-2006 00:00:00</t>
  </si>
  <si>
    <t>26471324</t>
  </si>
  <si>
    <t xml:space="preserve">МКУ "Новоивановское"</t>
  </si>
  <si>
    <t>2344013996</t>
  </si>
  <si>
    <t>26471310</t>
  </si>
  <si>
    <t xml:space="preserve">МКУ "Южное"</t>
  </si>
  <si>
    <t>2344013971</t>
  </si>
  <si>
    <t xml:space="preserve">16-01-2006 00:00:00</t>
  </si>
  <si>
    <t>31495547</t>
  </si>
  <si>
    <t xml:space="preserve">МКУ ССП СР "Смоленская Единая служба"</t>
  </si>
  <si>
    <t>2348040849</t>
  </si>
  <si>
    <t xml:space="preserve">30-04-2021 00:00:00</t>
  </si>
  <si>
    <t>26825665</t>
  </si>
  <si>
    <t xml:space="preserve">МКУП "Сельское хозяйство"</t>
  </si>
  <si>
    <t>2343018825</t>
  </si>
  <si>
    <t xml:space="preserve">24-01-2007 00:00:00</t>
  </si>
  <si>
    <t>26473443</t>
  </si>
  <si>
    <t xml:space="preserve">МУ "Импульс"</t>
  </si>
  <si>
    <t>2344013989</t>
  </si>
  <si>
    <t xml:space="preserve">19-01-2006 00:00:00</t>
  </si>
  <si>
    <t>26471313</t>
  </si>
  <si>
    <t xml:space="preserve">МУ "Калниболотское"</t>
  </si>
  <si>
    <t>2344014020</t>
  </si>
  <si>
    <t xml:space="preserve">27-01-2007 00:00:00</t>
  </si>
  <si>
    <t>26647606</t>
  </si>
  <si>
    <t xml:space="preserve">МУ "Комсомолец"</t>
  </si>
  <si>
    <t>2361003532</t>
  </si>
  <si>
    <t>26471318</t>
  </si>
  <si>
    <t xml:space="preserve">МУ "Кубанское хозяйственное объединение"</t>
  </si>
  <si>
    <t>2344013964</t>
  </si>
  <si>
    <t xml:space="preserve">13-01-2006 00:00:00</t>
  </si>
  <si>
    <t>28458494</t>
  </si>
  <si>
    <t xml:space="preserve">МУ МПКХ "Луч"</t>
  </si>
  <si>
    <t>2374000881</t>
  </si>
  <si>
    <t xml:space="preserve">01-01-2014 00:00:00</t>
  </si>
  <si>
    <t>26470983</t>
  </si>
  <si>
    <t xml:space="preserve">МУ МПКХ ст.Ахметовской</t>
  </si>
  <si>
    <t>2314019292</t>
  </si>
  <si>
    <t>28815209</t>
  </si>
  <si>
    <t xml:space="preserve">МУ МПКХ ст.Владимирской</t>
  </si>
  <si>
    <t>2314019302</t>
  </si>
  <si>
    <t xml:space="preserve">07-07-2006 00:00:00</t>
  </si>
  <si>
    <t>26471081</t>
  </si>
  <si>
    <t xml:space="preserve">МУ МПКХ ст.Чамлыкской</t>
  </si>
  <si>
    <t>2314019285</t>
  </si>
  <si>
    <t>26470996</t>
  </si>
  <si>
    <t xml:space="preserve">МУ МПКХ х.Первая Синюха</t>
  </si>
  <si>
    <t>2314019493</t>
  </si>
  <si>
    <t>26468805</t>
  </si>
  <si>
    <t xml:space="preserve">МУМП ЖКХ "Газырское"</t>
  </si>
  <si>
    <t>2328014600</t>
  </si>
  <si>
    <t>28137056</t>
  </si>
  <si>
    <t xml:space="preserve">МУМПКХ Каладжинского сельского поселения</t>
  </si>
  <si>
    <t>2314025722</t>
  </si>
  <si>
    <t>28951496</t>
  </si>
  <si>
    <t xml:space="preserve">МУП  "Федоровский водоканал"</t>
  </si>
  <si>
    <t>2323032500</t>
  </si>
  <si>
    <t xml:space="preserve">09-02-2015 00:00:00</t>
  </si>
  <si>
    <t>26471364</t>
  </si>
  <si>
    <t xml:space="preserve">МУП  ЖКХ "Новолеушковское"</t>
  </si>
  <si>
    <t>2346014900</t>
  </si>
  <si>
    <t xml:space="preserve">30-11-2006 00:00:00</t>
  </si>
  <si>
    <t>28951503</t>
  </si>
  <si>
    <t xml:space="preserve">МУП " ЖКХ Березанское"</t>
  </si>
  <si>
    <t>2362000559</t>
  </si>
  <si>
    <t xml:space="preserve">15-01-2015 00:00:00</t>
  </si>
  <si>
    <t>30884848</t>
  </si>
  <si>
    <t xml:space="preserve">МУП "Батуринский исток"</t>
  </si>
  <si>
    <t>2327014407</t>
  </si>
  <si>
    <t xml:space="preserve">28-12-2016 00:00:00</t>
  </si>
  <si>
    <t>26468703</t>
  </si>
  <si>
    <t xml:space="preserve">МУП "Белоглинский водоканал"</t>
  </si>
  <si>
    <t>2326007647</t>
  </si>
  <si>
    <t xml:space="preserve">26-09-2005 00:00:00</t>
  </si>
  <si>
    <t>26471220</t>
  </si>
  <si>
    <t xml:space="preserve">МУП "Бесленеевское"</t>
  </si>
  <si>
    <t>2342016455</t>
  </si>
  <si>
    <t xml:space="preserve">21-04-2006 00:00:00</t>
  </si>
  <si>
    <t>28543804</t>
  </si>
  <si>
    <t xml:space="preserve">МУП "Благоустройство"</t>
  </si>
  <si>
    <t>2334020232</t>
  </si>
  <si>
    <t xml:space="preserve">07-05-2014 00:00:00</t>
  </si>
  <si>
    <t>30431947</t>
  </si>
  <si>
    <t>2343009549</t>
  </si>
  <si>
    <t xml:space="preserve">11-01-2016 00:00:00</t>
  </si>
  <si>
    <t>30920028</t>
  </si>
  <si>
    <t xml:space="preserve">МУП "Благоустройство-Услуга"</t>
  </si>
  <si>
    <t>2339014345</t>
  </si>
  <si>
    <t xml:space="preserve">09-06-2017 00:00:00</t>
  </si>
  <si>
    <t>26470967</t>
  </si>
  <si>
    <t xml:space="preserve">МУП "Варениковское коммунальное хозяйство"</t>
  </si>
  <si>
    <t>2337032846</t>
  </si>
  <si>
    <t>26760633</t>
  </si>
  <si>
    <t xml:space="preserve">МУП "Варнавинское"</t>
  </si>
  <si>
    <t>2323027035</t>
  </si>
  <si>
    <t xml:space="preserve">10-10-2007 00:00:00</t>
  </si>
  <si>
    <t>28535760</t>
  </si>
  <si>
    <t xml:space="preserve">МУП "Водоканал Тбилисского района"</t>
  </si>
  <si>
    <t>2364010231</t>
  </si>
  <si>
    <t xml:space="preserve">23-06-2014 00:00:00</t>
  </si>
  <si>
    <t>28136324</t>
  </si>
  <si>
    <t xml:space="preserve">МУП "Водоканал города Новороссийска"</t>
  </si>
  <si>
    <t>2315178760</t>
  </si>
  <si>
    <t>26471374</t>
  </si>
  <si>
    <t xml:space="preserve">МУП "Водоканал"</t>
  </si>
  <si>
    <t>2347001036</t>
  </si>
  <si>
    <t xml:space="preserve">07-10-2002 00:00:00</t>
  </si>
  <si>
    <t>31324012</t>
  </si>
  <si>
    <t xml:space="preserve">МУП "Водоканал" Кропоткинского городского поселения</t>
  </si>
  <si>
    <t>2364017910</t>
  </si>
  <si>
    <t xml:space="preserve">04-04-2019 00:00:00</t>
  </si>
  <si>
    <t>26470978</t>
  </si>
  <si>
    <t xml:space="preserve">МУП "Водоканал" города Лабинска</t>
  </si>
  <si>
    <t>2314019408</t>
  </si>
  <si>
    <t>28455329</t>
  </si>
  <si>
    <t xml:space="preserve">МУП "Восточное"</t>
  </si>
  <si>
    <t>2346018044</t>
  </si>
  <si>
    <t xml:space="preserve">19-11-2013 00:00:00</t>
  </si>
  <si>
    <t>26468711</t>
  </si>
  <si>
    <t xml:space="preserve">МУП "Горводоканал"</t>
  </si>
  <si>
    <t>2303024332</t>
  </si>
  <si>
    <t>230301001</t>
  </si>
  <si>
    <t>26402694</t>
  </si>
  <si>
    <t xml:space="preserve">МУП "Горжилкомхоз"</t>
  </si>
  <si>
    <t>2339014867</t>
  </si>
  <si>
    <t xml:space="preserve">13-08-2009 00:00:00</t>
  </si>
  <si>
    <t xml:space="preserve">26-04-2023 00:00:00</t>
  </si>
  <si>
    <t>28981442</t>
  </si>
  <si>
    <t xml:space="preserve">МУП "Дмитриевское"</t>
  </si>
  <si>
    <t>2364012158</t>
  </si>
  <si>
    <t xml:space="preserve">16-04-2015 00:00:00</t>
  </si>
  <si>
    <t>26468685</t>
  </si>
  <si>
    <t xml:space="preserve">МУП "ЖКХ "Холмское"</t>
  </si>
  <si>
    <t>2323000330</t>
  </si>
  <si>
    <t xml:space="preserve">30-12-2002 00:00:00</t>
  </si>
  <si>
    <t>30803692</t>
  </si>
  <si>
    <t xml:space="preserve">МУП "ЖКХ Алексее - Тенгинское"</t>
  </si>
  <si>
    <t>2364013514</t>
  </si>
  <si>
    <t xml:space="preserve">01-03-2016 00:00:00</t>
  </si>
  <si>
    <t>30803686</t>
  </si>
  <si>
    <t xml:space="preserve">МУП "ЖКХ Марьинское"</t>
  </si>
  <si>
    <t>2364013458</t>
  </si>
  <si>
    <t xml:space="preserve">26-02-2016 00:00:00</t>
  </si>
  <si>
    <t>28860886</t>
  </si>
  <si>
    <t xml:space="preserve">МУП "ЖКХ Новоплатнировское"</t>
  </si>
  <si>
    <t>2341016893</t>
  </si>
  <si>
    <t xml:space="preserve">21-05-2014 00:00:00</t>
  </si>
  <si>
    <t>26406417</t>
  </si>
  <si>
    <t xml:space="preserve">МУП "ЖКХ Терновского сельского поселения Тихорецкого района"</t>
  </si>
  <si>
    <t>2354009780</t>
  </si>
  <si>
    <t xml:space="preserve">13-10-2009 00:00:00</t>
  </si>
  <si>
    <t>26355160</t>
  </si>
  <si>
    <t xml:space="preserve">МУП "ЖКХ города Туапсе"</t>
  </si>
  <si>
    <t>2365001416</t>
  </si>
  <si>
    <t xml:space="preserve">21-03-2005 00:00:00</t>
  </si>
  <si>
    <t>26470929</t>
  </si>
  <si>
    <t xml:space="preserve">МУП "ЖКХ" Журавского поселения</t>
  </si>
  <si>
    <t>2335014760</t>
  </si>
  <si>
    <t>26473342</t>
  </si>
  <si>
    <t xml:space="preserve">МУП "ЖКХ" Пролетарского сельского поселения</t>
  </si>
  <si>
    <t>2335014584</t>
  </si>
  <si>
    <t>26473344</t>
  </si>
  <si>
    <t xml:space="preserve">МУП "ЖКХ" Раздольненского сельского поселения</t>
  </si>
  <si>
    <t>2335014591</t>
  </si>
  <si>
    <t>26473346</t>
  </si>
  <si>
    <t xml:space="preserve">МУП "ЖКХ" Сергиевского сельского поселения</t>
  </si>
  <si>
    <t>2335014601</t>
  </si>
  <si>
    <t>26473664</t>
  </si>
  <si>
    <t xml:space="preserve">МУП "ЖКХ-Курчанское"</t>
  </si>
  <si>
    <t>2352033379</t>
  </si>
  <si>
    <t xml:space="preserve">14-01-2008 00:00:00</t>
  </si>
  <si>
    <t>31501598</t>
  </si>
  <si>
    <t xml:space="preserve">МУП "Ильские коммунальные системы"</t>
  </si>
  <si>
    <t>2348042490</t>
  </si>
  <si>
    <t xml:space="preserve">31-05-2021 00:00:00</t>
  </si>
  <si>
    <t>30851087</t>
  </si>
  <si>
    <t xml:space="preserve">МУП "Исток"</t>
  </si>
  <si>
    <t>2327013996</t>
  </si>
  <si>
    <t xml:space="preserve">20-10-2015 00:00:00</t>
  </si>
  <si>
    <t>30873875</t>
  </si>
  <si>
    <t>2327014005</t>
  </si>
  <si>
    <t xml:space="preserve">28-10-2015 00:00:00</t>
  </si>
  <si>
    <t>31501605</t>
  </si>
  <si>
    <t xml:space="preserve">МУП "Крюковские коммунальные системы"</t>
  </si>
  <si>
    <t>2348042660</t>
  </si>
  <si>
    <t>26471601</t>
  </si>
  <si>
    <t xml:space="preserve">МУП "Кубанское"</t>
  </si>
  <si>
    <t>2357006717</t>
  </si>
  <si>
    <t xml:space="preserve">11-02-2008 00:00:00</t>
  </si>
  <si>
    <t>26470809</t>
  </si>
  <si>
    <t xml:space="preserve">МУП "Куйбышевское ЖКХ"</t>
  </si>
  <si>
    <t>2333011676</t>
  </si>
  <si>
    <t>26473315</t>
  </si>
  <si>
    <t xml:space="preserve">МУП "Лосевское"</t>
  </si>
  <si>
    <t>2332017227</t>
  </si>
  <si>
    <t xml:space="preserve">11-12-2006 00:00:00</t>
  </si>
  <si>
    <t>26471237</t>
  </si>
  <si>
    <t xml:space="preserve">МУП "Махошевское"</t>
  </si>
  <si>
    <t>2342016462</t>
  </si>
  <si>
    <t xml:space="preserve">26-04-2006 00:00:00</t>
  </si>
  <si>
    <t>28435983</t>
  </si>
  <si>
    <t xml:space="preserve">МУП "Мирское"</t>
  </si>
  <si>
    <t>2364007863</t>
  </si>
  <si>
    <t xml:space="preserve">04-12-2012 00:00:00</t>
  </si>
  <si>
    <t>26471193</t>
  </si>
  <si>
    <t xml:space="preserve">МУП "Мостводоканал"</t>
  </si>
  <si>
    <t>2342016399</t>
  </si>
  <si>
    <t xml:space="preserve">24-03-2006 00:00:00</t>
  </si>
  <si>
    <t>31669960</t>
  </si>
  <si>
    <t xml:space="preserve">МУП "НКС"</t>
  </si>
  <si>
    <t>2348043945</t>
  </si>
  <si>
    <t xml:space="preserve">11-04-2023 00:00:00</t>
  </si>
  <si>
    <t>26471258</t>
  </si>
  <si>
    <t xml:space="preserve">МУП "Новокубанский городской водоканал"</t>
  </si>
  <si>
    <t>2343015616</t>
  </si>
  <si>
    <t>31296655</t>
  </si>
  <si>
    <t xml:space="preserve">МУП "Новомихайловское ВКХ"</t>
  </si>
  <si>
    <t>2365027333</t>
  </si>
  <si>
    <t>31073938</t>
  </si>
  <si>
    <t xml:space="preserve">МУП "Новомихайловское благоустройство и архитектура"</t>
  </si>
  <si>
    <t>2365014172</t>
  </si>
  <si>
    <t>26530408</t>
  </si>
  <si>
    <t xml:space="preserve">МУП "Новый путь"</t>
  </si>
  <si>
    <t>2343019459</t>
  </si>
  <si>
    <t xml:space="preserve">05-02-2008 00:00:00</t>
  </si>
  <si>
    <t>26468697</t>
  </si>
  <si>
    <t xml:space="preserve">МУП "Ольгинское ЖКХ"</t>
  </si>
  <si>
    <t>2323024764</t>
  </si>
  <si>
    <t xml:space="preserve">19-12-2005 00:00:00</t>
  </si>
  <si>
    <t>26471610</t>
  </si>
  <si>
    <t xml:space="preserve">МУП "Параллель"</t>
  </si>
  <si>
    <t>2357006587</t>
  </si>
  <si>
    <t>31436599</t>
  </si>
  <si>
    <t xml:space="preserve">МУП "Первореченское"</t>
  </si>
  <si>
    <t>2373018188</t>
  </si>
  <si>
    <t xml:space="preserve">17-07-2020 00:00:00</t>
  </si>
  <si>
    <t>27115749</t>
  </si>
  <si>
    <t xml:space="preserve">МУП "Песчаное ЖКХ"</t>
  </si>
  <si>
    <t>2364001935</t>
  </si>
  <si>
    <t xml:space="preserve">12-09-2012 00:00:00</t>
  </si>
  <si>
    <t>27690149</t>
  </si>
  <si>
    <t xml:space="preserve">МУП "По благоустройству территории Ванновского сельского поселения Тбилисского района"</t>
  </si>
  <si>
    <t>2351012295</t>
  </si>
  <si>
    <t xml:space="preserve">01-03-2012 00:00:00</t>
  </si>
  <si>
    <t>30803716</t>
  </si>
  <si>
    <t xml:space="preserve">МУП "По благоустройству территории Геймановского сельского поселения Тбилисского района"</t>
  </si>
  <si>
    <t>2364013440</t>
  </si>
  <si>
    <t xml:space="preserve">04-02-2016 00:00:00</t>
  </si>
  <si>
    <t>27115698</t>
  </si>
  <si>
    <t xml:space="preserve">МУП "По благоустройству территории Ловлинского сельского поселения"</t>
  </si>
  <si>
    <t>2351012062</t>
  </si>
  <si>
    <t xml:space="preserve">12-09-2011 00:00:00</t>
  </si>
  <si>
    <t>26760273</t>
  </si>
  <si>
    <t xml:space="preserve">МУП "По благоустройству территории Нововладимирского сельского поселения"</t>
  </si>
  <si>
    <t>2351011647</t>
  </si>
  <si>
    <t xml:space="preserve">02-02-2011 00:00:00</t>
  </si>
  <si>
    <t>26477065</t>
  </si>
  <si>
    <t xml:space="preserve">МУП "Поселенческий водопровод"</t>
  </si>
  <si>
    <t>2360002180</t>
  </si>
  <si>
    <t>30395497</t>
  </si>
  <si>
    <t xml:space="preserve">МУП "Привольное"</t>
  </si>
  <si>
    <t>2364012662</t>
  </si>
  <si>
    <t xml:space="preserve">01-01-2016 00:00:00</t>
  </si>
  <si>
    <t>31495558</t>
  </si>
  <si>
    <t xml:space="preserve">МУП "Прочный Окоп"</t>
  </si>
  <si>
    <t>2372027775</t>
  </si>
  <si>
    <t>26471200</t>
  </si>
  <si>
    <t xml:space="preserve">МУП "Псебайводоканал"</t>
  </si>
  <si>
    <t>2342016423</t>
  </si>
  <si>
    <t xml:space="preserve">30-03-2006 00:00:00</t>
  </si>
  <si>
    <t>27581124</t>
  </si>
  <si>
    <t xml:space="preserve">МУП "Райводоканал"</t>
  </si>
  <si>
    <t>2365018106</t>
  </si>
  <si>
    <t xml:space="preserve">20-05-2011 00:00:00</t>
  </si>
  <si>
    <t>26468834</t>
  </si>
  <si>
    <t xml:space="preserve">МУП "Родник"</t>
  </si>
  <si>
    <t>2330016852</t>
  </si>
  <si>
    <t>27678020</t>
  </si>
  <si>
    <t xml:space="preserve">МУП "Советское МКХ"</t>
  </si>
  <si>
    <t>2372001880</t>
  </si>
  <si>
    <t xml:space="preserve">14-02-2012 00:00:00</t>
  </si>
  <si>
    <t>26473430</t>
  </si>
  <si>
    <t xml:space="preserve">МУП "Стимул"</t>
  </si>
  <si>
    <t>2343019385</t>
  </si>
  <si>
    <t xml:space="preserve">30-11-2007 00:00:00</t>
  </si>
  <si>
    <t>26473640</t>
  </si>
  <si>
    <t xml:space="preserve">МУП "ТУ ЖКХ"</t>
  </si>
  <si>
    <t>2352040305</t>
  </si>
  <si>
    <t xml:space="preserve">12-12-2006 00:00:00</t>
  </si>
  <si>
    <t>26473414</t>
  </si>
  <si>
    <t xml:space="preserve">МУП "Унароковское"</t>
  </si>
  <si>
    <t>2342018004</t>
  </si>
  <si>
    <t xml:space="preserve">09-10-2008 00:00:00</t>
  </si>
  <si>
    <t>31490366</t>
  </si>
  <si>
    <t xml:space="preserve">МУП "Упорненское"</t>
  </si>
  <si>
    <t>2346019182</t>
  </si>
  <si>
    <t xml:space="preserve">08-04-2021 00:00:00</t>
  </si>
  <si>
    <t>26471618</t>
  </si>
  <si>
    <t xml:space="preserve">МУП "Уруп"</t>
  </si>
  <si>
    <t>2357006690</t>
  </si>
  <si>
    <t xml:space="preserve">14-01-2010 00:00:00</t>
  </si>
  <si>
    <t>28455403</t>
  </si>
  <si>
    <t xml:space="preserve">МУП "Успенский водоканал"</t>
  </si>
  <si>
    <t>2372006937</t>
  </si>
  <si>
    <t xml:space="preserve">02-10-2013 00:00:00</t>
  </si>
  <si>
    <t>26472870</t>
  </si>
  <si>
    <t xml:space="preserve">МУП "Успенское хозяйственное объединение"</t>
  </si>
  <si>
    <t>2326008400</t>
  </si>
  <si>
    <t xml:space="preserve">18-10-2007 00:00:00</t>
  </si>
  <si>
    <t>26473575</t>
  </si>
  <si>
    <t xml:space="preserve">МУП "Уют"</t>
  </si>
  <si>
    <t>2347013031</t>
  </si>
  <si>
    <t xml:space="preserve">26-06-2007 00:00:00</t>
  </si>
  <si>
    <t>26468705</t>
  </si>
  <si>
    <t xml:space="preserve">МУП "Центральное хозяйственное объединение"</t>
  </si>
  <si>
    <t>2326008175</t>
  </si>
  <si>
    <t xml:space="preserve">28-09-2006 00:00:00</t>
  </si>
  <si>
    <t>30855275</t>
  </si>
  <si>
    <t xml:space="preserve">МУП "Чепигинское"</t>
  </si>
  <si>
    <t>2327014340</t>
  </si>
  <si>
    <t xml:space="preserve">14-11-2016 00:00:00</t>
  </si>
  <si>
    <t>26471244</t>
  </si>
  <si>
    <t xml:space="preserve">МУП "Ярославское"</t>
  </si>
  <si>
    <t>2342016416</t>
  </si>
  <si>
    <t>28133583</t>
  </si>
  <si>
    <t xml:space="preserve">МУП «Водоканал»</t>
  </si>
  <si>
    <t>2360006114</t>
  </si>
  <si>
    <t xml:space="preserve">12-12-2012 00:00:00</t>
  </si>
  <si>
    <t>26471231</t>
  </si>
  <si>
    <t xml:space="preserve">МУП «Водоканал» Краснокутского с/п</t>
  </si>
  <si>
    <t>2342016374</t>
  </si>
  <si>
    <t xml:space="preserve">21-03-2006 00:00:00</t>
  </si>
  <si>
    <t>28445741</t>
  </si>
  <si>
    <t xml:space="preserve">МУП «ЖКХ Бородинское»</t>
  </si>
  <si>
    <t>2347015670</t>
  </si>
  <si>
    <t xml:space="preserve">14-08-2013 00:00:00</t>
  </si>
  <si>
    <t>26468215</t>
  </si>
  <si>
    <t xml:space="preserve">МУП ВКХ "Водоканал"</t>
  </si>
  <si>
    <t>2311014031</t>
  </si>
  <si>
    <t xml:space="preserve">28-10-2002 00:00:00</t>
  </si>
  <si>
    <t>30395432</t>
  </si>
  <si>
    <t xml:space="preserve">МУП ЖКХ "Атаманское"</t>
  </si>
  <si>
    <t>2346017795</t>
  </si>
  <si>
    <t>26471203</t>
  </si>
  <si>
    <t xml:space="preserve">МУП ЖКХ "Беноковское"</t>
  </si>
  <si>
    <t>2342016670</t>
  </si>
  <si>
    <t xml:space="preserve">07-08-2006 00:00:00</t>
  </si>
  <si>
    <t>26473568</t>
  </si>
  <si>
    <t xml:space="preserve">МУП ЖКХ "Бриньковское"</t>
  </si>
  <si>
    <t>2347013296</t>
  </si>
  <si>
    <t xml:space="preserve">14-02-2008 00:00:00</t>
  </si>
  <si>
    <t>26471178</t>
  </si>
  <si>
    <t xml:space="preserve">МУП ЖКХ "Восточное"</t>
  </si>
  <si>
    <t>2341013973</t>
  </si>
  <si>
    <t xml:space="preserve">25-07-2007 00:00:00</t>
  </si>
  <si>
    <t>26468605</t>
  </si>
  <si>
    <t xml:space="preserve">МУП ЖКХ "Корсунское"</t>
  </si>
  <si>
    <t>2312091310</t>
  </si>
  <si>
    <t xml:space="preserve">20-12-2002 00:00:00</t>
  </si>
  <si>
    <t>28270526</t>
  </si>
  <si>
    <t xml:space="preserve">МУП ЖКХ "Незаймановский"</t>
  </si>
  <si>
    <t>2369001897</t>
  </si>
  <si>
    <t xml:space="preserve">15-04-2013 00:00:00</t>
  </si>
  <si>
    <t>26473531</t>
  </si>
  <si>
    <t xml:space="preserve">МУП ЖКХ "Новопетровское сельское поселение"</t>
  </si>
  <si>
    <t>2346016079</t>
  </si>
  <si>
    <t xml:space="preserve">13-05-2009 00:00:00</t>
  </si>
  <si>
    <t>26473570</t>
  </si>
  <si>
    <t xml:space="preserve">МУП ЖКХ "Ольгинское"</t>
  </si>
  <si>
    <t>2347012870</t>
  </si>
  <si>
    <t xml:space="preserve">18-03-2007 00:00:00</t>
  </si>
  <si>
    <t>26471240</t>
  </si>
  <si>
    <t xml:space="preserve">МУП ЖКХ "Переправненское"</t>
  </si>
  <si>
    <t>2342016695</t>
  </si>
  <si>
    <t xml:space="preserve">08-08-2006 00:00:00</t>
  </si>
  <si>
    <t>28446089</t>
  </si>
  <si>
    <t xml:space="preserve">МУП ЖКХ "Поселковое"</t>
  </si>
  <si>
    <t>2369002347</t>
  </si>
  <si>
    <t xml:space="preserve">03-10-2013 00:00:00</t>
  </si>
  <si>
    <t>26473572</t>
  </si>
  <si>
    <t xml:space="preserve">МУП ЖКХ "Приазовское"</t>
  </si>
  <si>
    <t>2347012951</t>
  </si>
  <si>
    <t xml:space="preserve">27-04-2007 00:00:00</t>
  </si>
  <si>
    <t>26473537</t>
  </si>
  <si>
    <t xml:space="preserve">МУП ЖКХ "Северное"</t>
  </si>
  <si>
    <t>2346015950</t>
  </si>
  <si>
    <t xml:space="preserve">08-12-2008 00:00:00</t>
  </si>
  <si>
    <t>26471370</t>
  </si>
  <si>
    <t xml:space="preserve">МУП ЖКХ "Среднечелбасское сельское поселение"</t>
  </si>
  <si>
    <t>2346015533</t>
  </si>
  <si>
    <t xml:space="preserve">26-12-2007 00:00:00</t>
  </si>
  <si>
    <t>26473336</t>
  </si>
  <si>
    <t xml:space="preserve">МУП ЖКХ "Станица"</t>
  </si>
  <si>
    <t>2335065067</t>
  </si>
  <si>
    <t>28829908</t>
  </si>
  <si>
    <t xml:space="preserve">МУП ЖКХ "Универсал плюс"</t>
  </si>
  <si>
    <t>2369003044</t>
  </si>
  <si>
    <t xml:space="preserve">09-07-2014 00:00:00</t>
  </si>
  <si>
    <t>28038493</t>
  </si>
  <si>
    <t xml:space="preserve">МУП ЖКХ «Кубанец»</t>
  </si>
  <si>
    <t>2369001270</t>
  </si>
  <si>
    <t xml:space="preserve">09-06-2012 00:00:00</t>
  </si>
  <si>
    <t>26406092</t>
  </si>
  <si>
    <t xml:space="preserve">МУП ЖКХ Павловского сельского поселения Павловского района</t>
  </si>
  <si>
    <t>2346001210</t>
  </si>
  <si>
    <t xml:space="preserve">22-11-2001 00:00:00</t>
  </si>
  <si>
    <t>26470888</t>
  </si>
  <si>
    <t xml:space="preserve">МУП Кореновского городского поселения "ЖКХ"</t>
  </si>
  <si>
    <t>2335013397</t>
  </si>
  <si>
    <t>28142566</t>
  </si>
  <si>
    <t xml:space="preserve">МУП МО Староминский район  "Служба водоснабжения"</t>
  </si>
  <si>
    <t>2350012430</t>
  </si>
  <si>
    <t xml:space="preserve">25-12-2012 00:00:00</t>
  </si>
  <si>
    <t>31402662</t>
  </si>
  <si>
    <t xml:space="preserve">МУП МО Усть-Лабинского района "Водоканал"</t>
  </si>
  <si>
    <t>2373017106</t>
  </si>
  <si>
    <t>26473559</t>
  </si>
  <si>
    <t xml:space="preserve">МУП НП «Водоканал»</t>
  </si>
  <si>
    <t>2347013024</t>
  </si>
  <si>
    <t xml:space="preserve">14-06-2007 00:00:00</t>
  </si>
  <si>
    <t>26470850</t>
  </si>
  <si>
    <t xml:space="preserve">МУП Новоминского сельского поселения "Благоустройство"</t>
  </si>
  <si>
    <t>2334020225</t>
  </si>
  <si>
    <t>26473340</t>
  </si>
  <si>
    <t xml:space="preserve">МУП Платнировский "Универсал"</t>
  </si>
  <si>
    <t>2335014626</t>
  </si>
  <si>
    <t>26473579</t>
  </si>
  <si>
    <t xml:space="preserve">МУП СП "Благоустройство"</t>
  </si>
  <si>
    <t>2347012888</t>
  </si>
  <si>
    <t>26471516</t>
  </si>
  <si>
    <t xml:space="preserve">МУП ТГП ТР "Водоканал"</t>
  </si>
  <si>
    <t>2321003007</t>
  </si>
  <si>
    <t>31438659</t>
  </si>
  <si>
    <t xml:space="preserve">МУП ТГП ТР "Темрюк-Водоканал"</t>
  </si>
  <si>
    <t>2352056640</t>
  </si>
  <si>
    <t xml:space="preserve">17-08-2020 00:00:00</t>
  </si>
  <si>
    <t>31437116</t>
  </si>
  <si>
    <t xml:space="preserve">МУП ЧСП БР "Черниговское"</t>
  </si>
  <si>
    <t>2368013480</t>
  </si>
  <si>
    <t xml:space="preserve">26-03-2020 00:00:00</t>
  </si>
  <si>
    <t>30371584</t>
  </si>
  <si>
    <t xml:space="preserve">МУП Челбасского сельского поселения Каневского района "Родник"</t>
  </si>
  <si>
    <t>2334025689</t>
  </si>
  <si>
    <t xml:space="preserve">01-11-2015 00:00:00</t>
  </si>
  <si>
    <t>28446276</t>
  </si>
  <si>
    <t xml:space="preserve">МУП г. Горячий Ключ "Водоканал"</t>
  </si>
  <si>
    <t>2305028371</t>
  </si>
  <si>
    <t>26468206</t>
  </si>
  <si>
    <t xml:space="preserve">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</si>
  <si>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</si>
  <si>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</si>
  <si>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</si>
  <si>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</si>
  <si>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 xml:space="preserve">18-11-2005 00:00:00</t>
  </si>
  <si>
    <t>26471176</t>
  </si>
  <si>
    <t xml:space="preserve">МУПЖКХ "Коммунальщик"</t>
  </si>
  <si>
    <t>2341014624</t>
  </si>
  <si>
    <t xml:space="preserve">01-08-2008 00:00:00</t>
  </si>
  <si>
    <t>28860779</t>
  </si>
  <si>
    <t xml:space="preserve">МУПЖКХ "Октябрьский"</t>
  </si>
  <si>
    <t>2341016886</t>
  </si>
  <si>
    <t xml:space="preserve">14-05-2014 00:00:00</t>
  </si>
  <si>
    <t>26470807</t>
  </si>
  <si>
    <t xml:space="preserve">Новониколаевское МУП "Гарант-Сервис"</t>
  </si>
  <si>
    <t>2333011725</t>
  </si>
  <si>
    <t>26470833</t>
  </si>
  <si>
    <t xml:space="preserve">ОАО "Агрофирма- племзавод "Победа"</t>
  </si>
  <si>
    <t>2334001455</t>
  </si>
  <si>
    <t>26468677</t>
  </si>
  <si>
    <t xml:space="preserve">ОАО "ВОДОКАНАЛ"</t>
  </si>
  <si>
    <t>2323026257</t>
  </si>
  <si>
    <t xml:space="preserve">07-12-2006 00:00:00</t>
  </si>
  <si>
    <t>26470827</t>
  </si>
  <si>
    <t xml:space="preserve">ОАО "Водопровод"</t>
  </si>
  <si>
    <t>2334021204</t>
  </si>
  <si>
    <t>26470868</t>
  </si>
  <si>
    <t xml:space="preserve">ОАО "ЖКУ"</t>
  </si>
  <si>
    <t>2334021236</t>
  </si>
  <si>
    <t>26471483</t>
  </si>
  <si>
    <t xml:space="preserve">ОАО Кондитерский комбинат "Кубань"</t>
  </si>
  <si>
    <t>2353005631</t>
  </si>
  <si>
    <t xml:space="preserve">04-11-1992 00:00:00</t>
  </si>
  <si>
    <t>28435972</t>
  </si>
  <si>
    <t xml:space="preserve">ООО "Агроснаб-1"</t>
  </si>
  <si>
    <t>2303028200</t>
  </si>
  <si>
    <t>28877485</t>
  </si>
  <si>
    <t xml:space="preserve">ООО "Азовский водоканал"</t>
  </si>
  <si>
    <t>2348036056</t>
  </si>
  <si>
    <t xml:space="preserve">17-03-2014 00:00:00</t>
  </si>
  <si>
    <t>31686522</t>
  </si>
  <si>
    <t xml:space="preserve">ООО "Аквалинии"</t>
  </si>
  <si>
    <t>2377003513</t>
  </si>
  <si>
    <t xml:space="preserve">01-07-2023 00:00:00</t>
  </si>
  <si>
    <t>31452511</t>
  </si>
  <si>
    <t xml:space="preserve">ООО "Аквапрофиль"</t>
  </si>
  <si>
    <t>2312279672</t>
  </si>
  <si>
    <t xml:space="preserve">05-02-2019 00:00:00</t>
  </si>
  <si>
    <t>26473704</t>
  </si>
  <si>
    <t xml:space="preserve">ООО "Ани"</t>
  </si>
  <si>
    <t>2354008018</t>
  </si>
  <si>
    <t>26468737</t>
  </si>
  <si>
    <t xml:space="preserve">ООО "Брюховецкое водопроводное хозяйство"</t>
  </si>
  <si>
    <t>2327009679</t>
  </si>
  <si>
    <t>31225151</t>
  </si>
  <si>
    <t xml:space="preserve">ООО "ВВК"</t>
  </si>
  <si>
    <t>2309152852</t>
  </si>
  <si>
    <t xml:space="preserve">28-10-2016 00:00:00</t>
  </si>
  <si>
    <t>31641947</t>
  </si>
  <si>
    <t xml:space="preserve">ООО "ВОДОКАНАЛ СЕРВИС"</t>
  </si>
  <si>
    <t>2311335846</t>
  </si>
  <si>
    <t xml:space="preserve">01-12-2022 00:00:00</t>
  </si>
  <si>
    <t>31641966</t>
  </si>
  <si>
    <t xml:space="preserve">ООО "ВОДОКАНАЛ ЮГ"</t>
  </si>
  <si>
    <t>2311303033</t>
  </si>
  <si>
    <t>31080021</t>
  </si>
  <si>
    <t xml:space="preserve">ООО "ВСВ -Водоканал"</t>
  </si>
  <si>
    <t>2311158509</t>
  </si>
  <si>
    <t xml:space="preserve">10-04-2018 00:00:00</t>
  </si>
  <si>
    <t>31254823</t>
  </si>
  <si>
    <t xml:space="preserve">ООО "Вишневый сад"</t>
  </si>
  <si>
    <t>2311180198</t>
  </si>
  <si>
    <t xml:space="preserve">02-10-2014 00:00:00</t>
  </si>
  <si>
    <t>31382327</t>
  </si>
  <si>
    <t xml:space="preserve">ООО "ВодСнабСервис"</t>
  </si>
  <si>
    <t>2315211721</t>
  </si>
  <si>
    <t xml:space="preserve">30-04-2019 00:00:00</t>
  </si>
  <si>
    <t>26472965</t>
  </si>
  <si>
    <t xml:space="preserve">ООО "Вода и канализация"</t>
  </si>
  <si>
    <t>2318032696</t>
  </si>
  <si>
    <t>30920779</t>
  </si>
  <si>
    <t xml:space="preserve">ООО "Водоканал Крымск"</t>
  </si>
  <si>
    <t>2337034674</t>
  </si>
  <si>
    <t xml:space="preserve">05-05-2016 00:00:00</t>
  </si>
  <si>
    <t>30796117</t>
  </si>
  <si>
    <t xml:space="preserve">ООО "Водоканал"</t>
  </si>
  <si>
    <t>2310120238</t>
  </si>
  <si>
    <t xml:space="preserve">19-12-2006 00:00:00</t>
  </si>
  <si>
    <t>26470803</t>
  </si>
  <si>
    <t>2333011443</t>
  </si>
  <si>
    <t>27991628</t>
  </si>
  <si>
    <t>2373001280</t>
  </si>
  <si>
    <t xml:space="preserve">02-11-2012 00:00:00</t>
  </si>
  <si>
    <t>30843148</t>
  </si>
  <si>
    <t xml:space="preserve">ООО "Водолей"</t>
  </si>
  <si>
    <t>2311160410</t>
  </si>
  <si>
    <t xml:space="preserve">17-07-2013 00:00:00</t>
  </si>
  <si>
    <t>30803500</t>
  </si>
  <si>
    <t xml:space="preserve">ООО "Водопровод"</t>
  </si>
  <si>
    <t>2303026121</t>
  </si>
  <si>
    <t xml:space="preserve">15-11-2010 00:00:00</t>
  </si>
  <si>
    <t>26468713</t>
  </si>
  <si>
    <t xml:space="preserve">ООО "Водоснабжение и канализация"</t>
  </si>
  <si>
    <t>2303025583</t>
  </si>
  <si>
    <t>26471512</t>
  </si>
  <si>
    <t xml:space="preserve">ООО "Водоснабжение"</t>
  </si>
  <si>
    <t>2353023951</t>
  </si>
  <si>
    <t xml:space="preserve">21-08-2007 00:00:00</t>
  </si>
  <si>
    <t>28033417</t>
  </si>
  <si>
    <t xml:space="preserve">ООО "Водсервис"</t>
  </si>
  <si>
    <t>2332017636</t>
  </si>
  <si>
    <t xml:space="preserve">12-12-2007 00:00:00</t>
  </si>
  <si>
    <t>26529716</t>
  </si>
  <si>
    <t xml:space="preserve">ООО "Газпром добыча Астрахань" оздоровительный центр "Санаторий "Юг"</t>
  </si>
  <si>
    <t>3006006420</t>
  </si>
  <si>
    <t>26538151</t>
  </si>
  <si>
    <t xml:space="preserve">ООО "Газпром трансгаз Москва" филиал санаторий "Голубая горка" отделение талассотерапии</t>
  </si>
  <si>
    <t>5003028028</t>
  </si>
  <si>
    <t>235232002</t>
  </si>
  <si>
    <t>26576140</t>
  </si>
  <si>
    <t xml:space="preserve">ООО "Газпром трансгаз Сургут"</t>
  </si>
  <si>
    <t>8617002073</t>
  </si>
  <si>
    <t>997250001</t>
  </si>
  <si>
    <t xml:space="preserve">30-01-2002 00:00:00</t>
  </si>
  <si>
    <t>26473407</t>
  </si>
  <si>
    <t xml:space="preserve">ООО "Гидроснаб"</t>
  </si>
  <si>
    <t>2314021252</t>
  </si>
  <si>
    <t xml:space="preserve">29-06-2023 00:00:00</t>
  </si>
  <si>
    <t>30939758</t>
  </si>
  <si>
    <t xml:space="preserve">ООО "Гирей-Сахар"</t>
  </si>
  <si>
    <t>2364009860</t>
  </si>
  <si>
    <t xml:space="preserve">01-07-2017 00:00:00</t>
  </si>
  <si>
    <t>31237467</t>
  </si>
  <si>
    <t xml:space="preserve">ООО "Дельта"</t>
  </si>
  <si>
    <t>2308082850</t>
  </si>
  <si>
    <t xml:space="preserve">06-02-2002 00:00:00</t>
  </si>
  <si>
    <t>26652839</t>
  </si>
  <si>
    <t xml:space="preserve">ООО "Детский лечебно-оздоровительный комплекс "Детство"</t>
  </si>
  <si>
    <t>2318022144</t>
  </si>
  <si>
    <t>27674858</t>
  </si>
  <si>
    <t xml:space="preserve">ООО "ЕйскВодоканал"</t>
  </si>
  <si>
    <t>2361007449</t>
  </si>
  <si>
    <t>28446121</t>
  </si>
  <si>
    <t xml:space="preserve">ООО "Жилкомплекс"</t>
  </si>
  <si>
    <t>2370002969</t>
  </si>
  <si>
    <t xml:space="preserve">25-09-2013 00:00:00</t>
  </si>
  <si>
    <t>26473609</t>
  </si>
  <si>
    <t xml:space="preserve">ООО "Жилкомуслуги"</t>
  </si>
  <si>
    <t>2349025610</t>
  </si>
  <si>
    <t xml:space="preserve">12-07-2005 00:00:00</t>
  </si>
  <si>
    <t>28446156</t>
  </si>
  <si>
    <t xml:space="preserve">ООО "Жилкомфорт"</t>
  </si>
  <si>
    <t>2370002951</t>
  </si>
  <si>
    <t>27755953</t>
  </si>
  <si>
    <t xml:space="preserve">ООО "ИВ-консалтинг"</t>
  </si>
  <si>
    <t>2340019323</t>
  </si>
  <si>
    <t>31475207</t>
  </si>
  <si>
    <t xml:space="preserve">ООО "КВС"</t>
  </si>
  <si>
    <t>2308268773</t>
  </si>
  <si>
    <t>26319818</t>
  </si>
  <si>
    <t xml:space="preserve">ООО "ККЗБ"</t>
  </si>
  <si>
    <t>2311178167</t>
  </si>
  <si>
    <t xml:space="preserve">19-08-2014 00:00:00</t>
  </si>
  <si>
    <t>28817820</t>
  </si>
  <si>
    <t xml:space="preserve">ООО "КЭСК"</t>
  </si>
  <si>
    <t>2308101615</t>
  </si>
  <si>
    <t>28467298</t>
  </si>
  <si>
    <t xml:space="preserve">ООО "Калининский водоканал"</t>
  </si>
  <si>
    <t>2311162294</t>
  </si>
  <si>
    <t xml:space="preserve">04-09-2013 00:00:00</t>
  </si>
  <si>
    <t>26468525</t>
  </si>
  <si>
    <t xml:space="preserve">ООО "Коммунальная энерго-сервисная компания"</t>
  </si>
  <si>
    <t xml:space="preserve">13-09-2004 00:00:00</t>
  </si>
  <si>
    <t>26475696</t>
  </si>
  <si>
    <t xml:space="preserve">ООО "Коммунальник"</t>
  </si>
  <si>
    <t>2353246210</t>
  </si>
  <si>
    <t xml:space="preserve">20-06-2008 00:00:00</t>
  </si>
  <si>
    <t>26562364</t>
  </si>
  <si>
    <t>2373008060</t>
  </si>
  <si>
    <t>26471295</t>
  </si>
  <si>
    <t xml:space="preserve">ООО "Коммунальщик"</t>
  </si>
  <si>
    <t>2343017973</t>
  </si>
  <si>
    <t xml:space="preserve">23-12-2005 00:00:00</t>
  </si>
  <si>
    <t>28822349</t>
  </si>
  <si>
    <t>2361011886</t>
  </si>
  <si>
    <t xml:space="preserve">01-10-2014 00:00:00</t>
  </si>
  <si>
    <t>26470860</t>
  </si>
  <si>
    <t xml:space="preserve">ООО "Консервное предприятие  Русское поле - Албаши"</t>
  </si>
  <si>
    <t>2334018297</t>
  </si>
  <si>
    <t>31316819</t>
  </si>
  <si>
    <t xml:space="preserve">ООО "Концессии водоснабжения-Геленджик"</t>
  </si>
  <si>
    <t>2304073741</t>
  </si>
  <si>
    <t xml:space="preserve">29-08-2018 00:00:00</t>
  </si>
  <si>
    <t>26319792</t>
  </si>
  <si>
    <t xml:space="preserve">ООО "Краснодар Водоканал"</t>
  </si>
  <si>
    <t>2308111927</t>
  </si>
  <si>
    <t xml:space="preserve">01-11-2005 00:00:00</t>
  </si>
  <si>
    <t>31286790</t>
  </si>
  <si>
    <t xml:space="preserve">ООО "Краснодарзернопродукт -Экспо"</t>
  </si>
  <si>
    <t>2310105350</t>
  </si>
  <si>
    <t xml:space="preserve">01-01-2019 00:00:00</t>
  </si>
  <si>
    <t>28858932</t>
  </si>
  <si>
    <t xml:space="preserve">ООО "Кубаньводоканал"</t>
  </si>
  <si>
    <t>2312210286</t>
  </si>
  <si>
    <t xml:space="preserve">13-01-2014 00:00:00</t>
  </si>
  <si>
    <t>26471089</t>
  </si>
  <si>
    <t xml:space="preserve">ООО "ЛенВодоканал"</t>
  </si>
  <si>
    <t>2341015473</t>
  </si>
  <si>
    <t xml:space="preserve">12-04-2010 00:00:00</t>
  </si>
  <si>
    <t>28455265</t>
  </si>
  <si>
    <t xml:space="preserve">ООО "Мортранссервис - НХБ"</t>
  </si>
  <si>
    <t>2315025933</t>
  </si>
  <si>
    <t xml:space="preserve">16-01-2014 00:00:00</t>
  </si>
  <si>
    <t>26482207</t>
  </si>
  <si>
    <t xml:space="preserve">ООО "Наш хутор"</t>
  </si>
  <si>
    <t>2353024338</t>
  </si>
  <si>
    <t xml:space="preserve">09-11-2007 00:00:00</t>
  </si>
  <si>
    <t>26471510</t>
  </si>
  <si>
    <t xml:space="preserve">ООО "Нимфа"</t>
  </si>
  <si>
    <t>2353023983</t>
  </si>
  <si>
    <t xml:space="preserve">30-08-2007 00:00:00</t>
  </si>
  <si>
    <t>26649162</t>
  </si>
  <si>
    <t xml:space="preserve">ООО "Новодеревянковский водозабор"</t>
  </si>
  <si>
    <t>2334022543</t>
  </si>
  <si>
    <t>31519925</t>
  </si>
  <si>
    <t xml:space="preserve">ООО "Новоросметалл"</t>
  </si>
  <si>
    <t>2315057727</t>
  </si>
  <si>
    <t xml:space="preserve">15-07-2021 00:00:00</t>
  </si>
  <si>
    <t>31562428</t>
  </si>
  <si>
    <t xml:space="preserve">ООО "Новый путь"</t>
  </si>
  <si>
    <t>2363001989</t>
  </si>
  <si>
    <t>236301001</t>
  </si>
  <si>
    <t xml:space="preserve">16-02-2022 00:00:00</t>
  </si>
  <si>
    <t>30371642</t>
  </si>
  <si>
    <t xml:space="preserve">ООО "ОВК"</t>
  </si>
  <si>
    <t>2311183939</t>
  </si>
  <si>
    <t xml:space="preserve">10-12-2014 00:00:00</t>
  </si>
  <si>
    <t>28868075</t>
  </si>
  <si>
    <t xml:space="preserve">ООО "ОЧИСТНЫЕ СООРУЖЕНИЯ"</t>
  </si>
  <si>
    <t>2342019696</t>
  </si>
  <si>
    <t xml:space="preserve">15-11-2013 00:00:00</t>
  </si>
  <si>
    <t>26468585</t>
  </si>
  <si>
    <t xml:space="preserve">ООО "Пашковское - Сервис"</t>
  </si>
  <si>
    <t>2312027393</t>
  </si>
  <si>
    <t xml:space="preserve">28-03-2003 00:00:00</t>
  </si>
  <si>
    <t>26471347</t>
  </si>
  <si>
    <t xml:space="preserve">ООО "Попутненское водопроводное хозяйство"</t>
  </si>
  <si>
    <t>2345010645</t>
  </si>
  <si>
    <t xml:space="preserve">13-10-2010 00:00:00</t>
  </si>
  <si>
    <t>26473400</t>
  </si>
  <si>
    <t xml:space="preserve">ООО "Предприятие "Родник"</t>
  </si>
  <si>
    <t>2340019362</t>
  </si>
  <si>
    <t>30913372</t>
  </si>
  <si>
    <t xml:space="preserve">ООО "Радар-02"</t>
  </si>
  <si>
    <t>2356041451</t>
  </si>
  <si>
    <t xml:space="preserve">10-05-2017 00:00:00</t>
  </si>
  <si>
    <t>31452499</t>
  </si>
  <si>
    <t xml:space="preserve">ООО "Регион Партнер Плюс"</t>
  </si>
  <si>
    <t>2312248843</t>
  </si>
  <si>
    <t xml:space="preserve">04-08-2016 00:00:00</t>
  </si>
  <si>
    <t>31082223</t>
  </si>
  <si>
    <t xml:space="preserve">ООО "Родник"</t>
  </si>
  <si>
    <t>2348039748</t>
  </si>
  <si>
    <t>27544516</t>
  </si>
  <si>
    <t xml:space="preserve">ООО "СЗ "Стройэлектросевкавмонтаж"</t>
  </si>
  <si>
    <t>2310056286</t>
  </si>
  <si>
    <t xml:space="preserve">05-02-2003 00:00:00</t>
  </si>
  <si>
    <t>31618382</t>
  </si>
  <si>
    <t xml:space="preserve">ООО "СИТ"</t>
  </si>
  <si>
    <t>2309157473</t>
  </si>
  <si>
    <t>230901100</t>
  </si>
  <si>
    <t xml:space="preserve">21-09-2022 00:00:00</t>
  </si>
  <si>
    <t>28981246</t>
  </si>
  <si>
    <t xml:space="preserve">ООО "Северский водоканал"</t>
  </si>
  <si>
    <t>2348036144</t>
  </si>
  <si>
    <t xml:space="preserve">15-04-2014 00:00:00</t>
  </si>
  <si>
    <t>28446350</t>
  </si>
  <si>
    <t xml:space="preserve">ООО "Смоленский водоканал"</t>
  </si>
  <si>
    <t>2348034877</t>
  </si>
  <si>
    <t>234880000</t>
  </si>
  <si>
    <t xml:space="preserve">29-04-2013 00:00:00</t>
  </si>
  <si>
    <t>28141893</t>
  </si>
  <si>
    <t xml:space="preserve">ООО "Сочиводоканал"</t>
  </si>
  <si>
    <t>2320210667</t>
  </si>
  <si>
    <t>31366241</t>
  </si>
  <si>
    <t xml:space="preserve">ООО "Спектр - Инвест"</t>
  </si>
  <si>
    <t>2308219215</t>
  </si>
  <si>
    <t xml:space="preserve">24-12-2019 00:00:00</t>
  </si>
  <si>
    <t>31197109</t>
  </si>
  <si>
    <t xml:space="preserve">ООО "Специализированный Застройщик "Стройэлектросевкавмонтаж"</t>
  </si>
  <si>
    <t xml:space="preserve">01-08-2018 00:00:00</t>
  </si>
  <si>
    <t>26471358</t>
  </si>
  <si>
    <t xml:space="preserve">ООО "Спокойненское водопроводное хозяйство"</t>
  </si>
  <si>
    <t>2345010613</t>
  </si>
  <si>
    <t>26560527</t>
  </si>
  <si>
    <t xml:space="preserve">ООО "Техкомбытсервис"</t>
  </si>
  <si>
    <t>2353246933</t>
  </si>
  <si>
    <t xml:space="preserve">18-03-2009 00:00:00</t>
  </si>
  <si>
    <t>30791641</t>
  </si>
  <si>
    <t xml:space="preserve">ООО "Тимашевский сахарный завод"</t>
  </si>
  <si>
    <t>2334024068</t>
  </si>
  <si>
    <t>26562799</t>
  </si>
  <si>
    <t xml:space="preserve">ООО "Транс-Водоканал"</t>
  </si>
  <si>
    <t>2348031315</t>
  </si>
  <si>
    <t xml:space="preserve">21-07-2010 00:00:00</t>
  </si>
  <si>
    <t>26470886</t>
  </si>
  <si>
    <t xml:space="preserve">ООО "Универсал"</t>
  </si>
  <si>
    <t>2334022173</t>
  </si>
  <si>
    <t>31349851</t>
  </si>
  <si>
    <t xml:space="preserve">ООО "УралСтройИнвест"</t>
  </si>
  <si>
    <t>6672168414</t>
  </si>
  <si>
    <t>668501001</t>
  </si>
  <si>
    <t>31452505</t>
  </si>
  <si>
    <t xml:space="preserve">ООО "Центр - Актив"</t>
  </si>
  <si>
    <t>2308124066</t>
  </si>
  <si>
    <t xml:space="preserve">10-11-2006 00:00:00</t>
  </si>
  <si>
    <t>28543927</t>
  </si>
  <si>
    <t xml:space="preserve">ООО "Черноерковское ЖКХ"</t>
  </si>
  <si>
    <t>2370002180</t>
  </si>
  <si>
    <t xml:space="preserve">04-02-2013 00:00:00</t>
  </si>
  <si>
    <t>28056139</t>
  </si>
  <si>
    <t xml:space="preserve">ООО "Щербиновский коммунальщик"</t>
  </si>
  <si>
    <t>2361008770</t>
  </si>
  <si>
    <t xml:space="preserve">01-09-2012 00:00:00</t>
  </si>
  <si>
    <t>26475760</t>
  </si>
  <si>
    <t xml:space="preserve">ООО "Энергосервис"</t>
  </si>
  <si>
    <t>2354007350</t>
  </si>
  <si>
    <t xml:space="preserve">20-01-2010 00:00:00</t>
  </si>
  <si>
    <t>31452488</t>
  </si>
  <si>
    <t xml:space="preserve">ООО "ЮнитКомм"</t>
  </si>
  <si>
    <t>2312291119</t>
  </si>
  <si>
    <t xml:space="preserve">06-03-2020 00:00:00</t>
  </si>
  <si>
    <t>28870457</t>
  </si>
  <si>
    <t xml:space="preserve">ООО «КУБ-С»</t>
  </si>
  <si>
    <t>2312201972</t>
  </si>
  <si>
    <t xml:space="preserve">12-04-2013 00:00:00</t>
  </si>
  <si>
    <t>28511669</t>
  </si>
  <si>
    <t xml:space="preserve">ООО «Коммунсервис»</t>
  </si>
  <si>
    <t>2365020521</t>
  </si>
  <si>
    <t xml:space="preserve">03-12-2012 00:00:00</t>
  </si>
  <si>
    <t>26551273</t>
  </si>
  <si>
    <t xml:space="preserve">ООО «Крамис-К»</t>
  </si>
  <si>
    <t>2312230691</t>
  </si>
  <si>
    <t xml:space="preserve">03-07-2015 00:00:00</t>
  </si>
  <si>
    <t>26568272</t>
  </si>
  <si>
    <t xml:space="preserve">ООО «Львовский водоканал»</t>
  </si>
  <si>
    <t>2348028993</t>
  </si>
  <si>
    <t xml:space="preserve">22-01-2009 00:00:00</t>
  </si>
  <si>
    <t>26551242</t>
  </si>
  <si>
    <t xml:space="preserve">ООО «УК Ритейл-парк»</t>
  </si>
  <si>
    <t>2312132503</t>
  </si>
  <si>
    <t xml:space="preserve">02-11-2006 00:00:00</t>
  </si>
  <si>
    <t>31596715</t>
  </si>
  <si>
    <t xml:space="preserve">ООО РСО "РЕСУРС-ЮГ"</t>
  </si>
  <si>
    <t>2311295544</t>
  </si>
  <si>
    <t xml:space="preserve">04-10-2019 00:00:00</t>
  </si>
  <si>
    <t>26470880</t>
  </si>
  <si>
    <t xml:space="preserve">ООО фирма "Калория"</t>
  </si>
  <si>
    <t>2334022342</t>
  </si>
  <si>
    <t>28876877</t>
  </si>
  <si>
    <t xml:space="preserve">ОСП ООО "Роза Хутор"</t>
  </si>
  <si>
    <t>2320163897</t>
  </si>
  <si>
    <t>26473391</t>
  </si>
  <si>
    <t xml:space="preserve">ПМКП "Домострой"</t>
  </si>
  <si>
    <t>2339015807</t>
  </si>
  <si>
    <t>26562645</t>
  </si>
  <si>
    <t xml:space="preserve">Пансионат "Буревестник" - структурное подразделение МГУ им. М.В.Ломоносова</t>
  </si>
  <si>
    <t>7729082090</t>
  </si>
  <si>
    <t xml:space="preserve">16-09-2010 00:00:00</t>
  </si>
  <si>
    <t>26551263</t>
  </si>
  <si>
    <t xml:space="preserve">Племзавод Учебно-опытное хозяйство "Краснодарское" КГАУ</t>
  </si>
  <si>
    <t>2311014546</t>
  </si>
  <si>
    <t>231102003</t>
  </si>
  <si>
    <t xml:space="preserve">05-11-2002 00:00:00</t>
  </si>
  <si>
    <t>26473394</t>
  </si>
  <si>
    <t xml:space="preserve">РМКП "Сервис"</t>
  </si>
  <si>
    <t>2339015814</t>
  </si>
  <si>
    <t>26569445</t>
  </si>
  <si>
    <t xml:space="preserve">РЭУ "Троицкий групповой водопровод" ООО "Югводоканал"</t>
  </si>
  <si>
    <t>2320139238</t>
  </si>
  <si>
    <t>233703001</t>
  </si>
  <si>
    <t>27065634</t>
  </si>
  <si>
    <t xml:space="preserve">СПК "Колхоз имени В.И.Ленина"</t>
  </si>
  <si>
    <t>2343004558</t>
  </si>
  <si>
    <t xml:space="preserve">28-11-2002 00:00:00</t>
  </si>
  <si>
    <t>26473385</t>
  </si>
  <si>
    <t xml:space="preserve">СПК колхоз "Новоалексеевский"</t>
  </si>
  <si>
    <t>2339016487</t>
  </si>
  <si>
    <t>26550612</t>
  </si>
  <si>
    <t xml:space="preserve">ФГБНУ ВНИИТТИ</t>
  </si>
  <si>
    <t>2311050287</t>
  </si>
  <si>
    <t xml:space="preserve">15-01-2003 00:00:00</t>
  </si>
  <si>
    <t>30944679</t>
  </si>
  <si>
    <t xml:space="preserve">ФГБУ ТС "Голубая бухта" Минздрава России</t>
  </si>
  <si>
    <t>2304014256</t>
  </si>
  <si>
    <t>31223626</t>
  </si>
  <si>
    <t xml:space="preserve">ФГБУ детский противотуберкулезный санаторий "Пионер"</t>
  </si>
  <si>
    <t>2318021310</t>
  </si>
  <si>
    <t xml:space="preserve">06-08-2018 00:00:00</t>
  </si>
  <si>
    <t>28078270</t>
  </si>
  <si>
    <t xml:space="preserve">ФГУП детский дерматологический санаторий им. Н.А. Семашко</t>
  </si>
  <si>
    <t>2318020997</t>
  </si>
  <si>
    <t xml:space="preserve">15-01-2013 00:00:00</t>
  </si>
  <si>
    <t>26355153</t>
  </si>
  <si>
    <t xml:space="preserve">ФКУ ИК-2 УФСИН России по Краснодарскому краю</t>
  </si>
  <si>
    <t>2356037543</t>
  </si>
  <si>
    <t>26569430</t>
  </si>
  <si>
    <t xml:space="preserve">Филиал "Ейский групповой водопровод" ООО "Югводоканал"</t>
  </si>
  <si>
    <t>230602001</t>
  </si>
  <si>
    <t>26569442</t>
  </si>
  <si>
    <t xml:space="preserve">Филиал "Таманский групповой водопровод" ООО "Югводоканал"</t>
  </si>
  <si>
    <t>235202001</t>
  </si>
  <si>
    <t>31384007</t>
  </si>
  <si>
    <t xml:space="preserve">филиал "Краснодарское водохранилище" ФГБВУ "Центррегионводхоз"</t>
  </si>
  <si>
    <t>5008028127</t>
  </si>
  <si>
    <t>773301001</t>
  </si>
  <si>
    <t xml:space="preserve">01-07-2002 00:00:00</t>
  </si>
  <si>
    <t>26473865</t>
  </si>
  <si>
    <t xml:space="preserve">АО "АЧ ЭНПП СИРИУС"</t>
  </si>
  <si>
    <t>2309058803</t>
  </si>
  <si>
    <t xml:space="preserve">02-12-2002 00:00:00</t>
  </si>
  <si>
    <t>26473325</t>
  </si>
  <si>
    <t xml:space="preserve">АО "Величковский элеватор"</t>
  </si>
  <si>
    <t>2333003442</t>
  </si>
  <si>
    <t>26468902</t>
  </si>
  <si>
    <t xml:space="preserve">АО "КЗЖБИ"</t>
  </si>
  <si>
    <t>2313014407</t>
  </si>
  <si>
    <t xml:space="preserve">26-02-2002 00:00:00</t>
  </si>
  <si>
    <t>28982436</t>
  </si>
  <si>
    <t xml:space="preserve">АО "Монолит-ЛТД"</t>
  </si>
  <si>
    <t>2350000794</t>
  </si>
  <si>
    <t xml:space="preserve">25-09-2002 00:00:00</t>
  </si>
  <si>
    <t>26473836</t>
  </si>
  <si>
    <t xml:space="preserve">АО "ОC"</t>
  </si>
  <si>
    <t>2356039678</t>
  </si>
  <si>
    <t>28460387</t>
  </si>
  <si>
    <t xml:space="preserve">АО "Таманьнефтегаз"</t>
  </si>
  <si>
    <t>2352013076</t>
  </si>
  <si>
    <t xml:space="preserve">12-11-1993 00:00:00</t>
  </si>
  <si>
    <t>26473411</t>
  </si>
  <si>
    <t xml:space="preserve">ГБПОУ КК ВТПП</t>
  </si>
  <si>
    <t>2314006695</t>
  </si>
  <si>
    <t>28795114</t>
  </si>
  <si>
    <t xml:space="preserve">ДОЛ "Электрон" (ООО)</t>
  </si>
  <si>
    <t>2301034007</t>
  </si>
  <si>
    <t xml:space="preserve">24-12-2002 00:00:00</t>
  </si>
  <si>
    <t>26529731</t>
  </si>
  <si>
    <t xml:space="preserve">ЗАО "Черноморец"</t>
  </si>
  <si>
    <t>2318012629</t>
  </si>
  <si>
    <t>28510980</t>
  </si>
  <si>
    <t xml:space="preserve">ИП Антонян С.О.</t>
  </si>
  <si>
    <t>234500396232</t>
  </si>
  <si>
    <t xml:space="preserve">21-04-2014 00:00:00</t>
  </si>
  <si>
    <t>30436668</t>
  </si>
  <si>
    <t xml:space="preserve">ИП Газаралиева Г.П.</t>
  </si>
  <si>
    <t>615424127595</t>
  </si>
  <si>
    <t xml:space="preserve">18-08-2015 00:00:00</t>
  </si>
  <si>
    <t>30378177</t>
  </si>
  <si>
    <t xml:space="preserve">ИП КФХ Гончаров Н.В.</t>
  </si>
  <si>
    <t>231006302519</t>
  </si>
  <si>
    <t xml:space="preserve">14-11-2015 00:00:00</t>
  </si>
  <si>
    <t>26564822</t>
  </si>
  <si>
    <t xml:space="preserve">ИП Капланян Е.В.</t>
  </si>
  <si>
    <t>234503086750</t>
  </si>
  <si>
    <t>31573437</t>
  </si>
  <si>
    <t xml:space="preserve">МБУ "ЖКХ-Комбытсервис"</t>
  </si>
  <si>
    <t>2352058013</t>
  </si>
  <si>
    <t xml:space="preserve">22-03-2022 00:00:00</t>
  </si>
  <si>
    <t>26473862</t>
  </si>
  <si>
    <t xml:space="preserve">МУП "ЖКХ-Фанагория"</t>
  </si>
  <si>
    <t>2352033259</t>
  </si>
  <si>
    <t xml:space="preserve">21-05-2002 00:00:00</t>
  </si>
  <si>
    <t>30802969</t>
  </si>
  <si>
    <t xml:space="preserve">МУП города Сочи "Водосток"</t>
  </si>
  <si>
    <t>2320201172</t>
  </si>
  <si>
    <t xml:space="preserve">06-07-2016 00:00:00</t>
  </si>
  <si>
    <t>26604087</t>
  </si>
  <si>
    <t xml:space="preserve">ОАО "Агентство развития Краснодарского края"</t>
  </si>
  <si>
    <t>2309092145</t>
  </si>
  <si>
    <t>26530825</t>
  </si>
  <si>
    <t xml:space="preserve">ОАО "ЖКС"</t>
  </si>
  <si>
    <t>2340017171</t>
  </si>
  <si>
    <t>26473328</t>
  </si>
  <si>
    <t xml:space="preserve">ОАО "ОСК"</t>
  </si>
  <si>
    <t>2334021211</t>
  </si>
  <si>
    <t>26529737</t>
  </si>
  <si>
    <t xml:space="preserve">ОАО "Пансионат "Лучезарный"</t>
  </si>
  <si>
    <t>2318029534</t>
  </si>
  <si>
    <t>26528210</t>
  </si>
  <si>
    <t xml:space="preserve">ОАО "Санаторий "Магадан"</t>
  </si>
  <si>
    <t>2318001955</t>
  </si>
  <si>
    <t>26473867</t>
  </si>
  <si>
    <t xml:space="preserve">ОАО "Турбаза "Волна"</t>
  </si>
  <si>
    <t>2355000653</t>
  </si>
  <si>
    <t xml:space="preserve">26-08-2002 00:00:00</t>
  </si>
  <si>
    <t>26473323</t>
  </si>
  <si>
    <t xml:space="preserve">ООО  "СК "Октябрь"</t>
  </si>
  <si>
    <t>2333012101</t>
  </si>
  <si>
    <t>28870481</t>
  </si>
  <si>
    <t xml:space="preserve">ООО "Аква"</t>
  </si>
  <si>
    <t>2301079456</t>
  </si>
  <si>
    <t xml:space="preserve">28-03-2012 00:00:00</t>
  </si>
  <si>
    <t>31560173</t>
  </si>
  <si>
    <t xml:space="preserve">ООО "Аквасети"</t>
  </si>
  <si>
    <t>2369008099</t>
  </si>
  <si>
    <t>30813169</t>
  </si>
  <si>
    <t xml:space="preserve">ООО "Альтернатива"</t>
  </si>
  <si>
    <t>2330036792</t>
  </si>
  <si>
    <t xml:space="preserve">28-07-2016 00:00:00</t>
  </si>
  <si>
    <t>27356441</t>
  </si>
  <si>
    <t xml:space="preserve">ООО "Биопотенциал"</t>
  </si>
  <si>
    <t>2309082108</t>
  </si>
  <si>
    <t xml:space="preserve">29-01-2003 00:00:00</t>
  </si>
  <si>
    <t>26473420</t>
  </si>
  <si>
    <t xml:space="preserve">ООО "Брюховецкое предприятие отвода и очистки стоков"</t>
  </si>
  <si>
    <t>2327009686</t>
  </si>
  <si>
    <t>30803505</t>
  </si>
  <si>
    <t xml:space="preserve">ООО "Водоотведение"</t>
  </si>
  <si>
    <t>2303026146</t>
  </si>
  <si>
    <t>27991554</t>
  </si>
  <si>
    <t>2373001297</t>
  </si>
  <si>
    <t>30859154</t>
  </si>
  <si>
    <t xml:space="preserve">ООО "Газпром добыча Оренбург"</t>
  </si>
  <si>
    <t>5610058025</t>
  </si>
  <si>
    <t>561001001</t>
  </si>
  <si>
    <t xml:space="preserve">10-11-2002 00:00:00</t>
  </si>
  <si>
    <t>30955607</t>
  </si>
  <si>
    <t xml:space="preserve">ООО "ДИАС"</t>
  </si>
  <si>
    <t>2308237278</t>
  </si>
  <si>
    <t>28134153</t>
  </si>
  <si>
    <t xml:space="preserve">ООО "ЖКХ-Стройсервис"</t>
  </si>
  <si>
    <t>2341016237</t>
  </si>
  <si>
    <t xml:space="preserve">20-03-2012 00:00:00</t>
  </si>
  <si>
    <t>30383345</t>
  </si>
  <si>
    <t xml:space="preserve">ООО "Квадра"</t>
  </si>
  <si>
    <t>2373008895</t>
  </si>
  <si>
    <t>30384656</t>
  </si>
  <si>
    <t>2345010638</t>
  </si>
  <si>
    <t xml:space="preserve">23-12-2015 00:00:00</t>
  </si>
  <si>
    <t>26473356</t>
  </si>
  <si>
    <t xml:space="preserve">ООО "Крымские коммунальные сети"</t>
  </si>
  <si>
    <t>2337042210</t>
  </si>
  <si>
    <t>26581869</t>
  </si>
  <si>
    <t xml:space="preserve">ООО "Кубанская коммунальная компания"</t>
  </si>
  <si>
    <t>2346016720</t>
  </si>
  <si>
    <t xml:space="preserve">16-06-2010 00:00:00</t>
  </si>
  <si>
    <t>31408964</t>
  </si>
  <si>
    <t xml:space="preserve">ООО "Новый Лазурит"</t>
  </si>
  <si>
    <t>2315168410</t>
  </si>
  <si>
    <t>773101001</t>
  </si>
  <si>
    <t xml:space="preserve">21-07-2011 00:00:00</t>
  </si>
  <si>
    <t>26319812</t>
  </si>
  <si>
    <t xml:space="preserve">ООО "ПХЦ-Алдан"</t>
  </si>
  <si>
    <t>2310073080</t>
  </si>
  <si>
    <t xml:space="preserve">21-12-2002 00:00:00</t>
  </si>
  <si>
    <t>31356946</t>
  </si>
  <si>
    <t xml:space="preserve">ООО "Санаторий "Дюна"</t>
  </si>
  <si>
    <t>2301035890</t>
  </si>
  <si>
    <t>30924028</t>
  </si>
  <si>
    <t xml:space="preserve">ООО "Северское водоотведение"</t>
  </si>
  <si>
    <t>2348038254</t>
  </si>
  <si>
    <t xml:space="preserve">22-06-2017 00:00:00</t>
  </si>
  <si>
    <t>28265054</t>
  </si>
  <si>
    <t xml:space="preserve">ООО "ФКС"</t>
  </si>
  <si>
    <t>2348034370</t>
  </si>
  <si>
    <t xml:space="preserve">27-12-2012 00:00:00</t>
  </si>
  <si>
    <t>31159739</t>
  </si>
  <si>
    <t xml:space="preserve">ООО "Чистый берег"</t>
  </si>
  <si>
    <t>2366003529</t>
  </si>
  <si>
    <t xml:space="preserve">04-04-2018 00:00:00</t>
  </si>
  <si>
    <t>28870506</t>
  </si>
  <si>
    <t xml:space="preserve">ООО «Восток»</t>
  </si>
  <si>
    <t>2312184029</t>
  </si>
  <si>
    <t xml:space="preserve">11-08-2011 00:00:00</t>
  </si>
  <si>
    <t>26473374</t>
  </si>
  <si>
    <t xml:space="preserve">ООО ПКФ "Оптимус"</t>
  </si>
  <si>
    <t>2330024349</t>
  </si>
  <si>
    <t>26529735</t>
  </si>
  <si>
    <t xml:space="preserve">ООО СХФ "Верлиока"</t>
  </si>
  <si>
    <t>2318014048</t>
  </si>
  <si>
    <t>30859276</t>
  </si>
  <si>
    <t>ООО"ОВК-Восток"</t>
  </si>
  <si>
    <t>2311130366</t>
  </si>
  <si>
    <t xml:space="preserve">13-12-2010 00:00:00</t>
  </si>
  <si>
    <t>28858983</t>
  </si>
  <si>
    <t xml:space="preserve">Обособленное подразделение ООО "Свинокомплекс "Развильненский"</t>
  </si>
  <si>
    <t>6163134234</t>
  </si>
  <si>
    <t>236945001</t>
  </si>
  <si>
    <t xml:space="preserve">01-07-2014 00:00:00</t>
  </si>
  <si>
    <t>31490355</t>
  </si>
  <si>
    <t xml:space="preserve">Общество с ограниченной ответсвенностью "Павловская коммунальная компания"</t>
  </si>
  <si>
    <t>2360013506</t>
  </si>
  <si>
    <t>26406414</t>
  </si>
  <si>
    <t xml:space="preserve">"МУП ТГП ТР "ККПиБ"</t>
  </si>
  <si>
    <t>2321007675</t>
  </si>
  <si>
    <t>26761683</t>
  </si>
  <si>
    <t xml:space="preserve">АО "Кадош"</t>
  </si>
  <si>
    <t>2365015810</t>
  </si>
  <si>
    <t xml:space="preserve">15-03-2010 00:00:00</t>
  </si>
  <si>
    <t>30944698</t>
  </si>
  <si>
    <t xml:space="preserve">АО "Крайжилкомресурс"</t>
  </si>
  <si>
    <t>2308124997</t>
  </si>
  <si>
    <t xml:space="preserve">16-08-2016 00:00:00</t>
  </si>
  <si>
    <t>26650901</t>
  </si>
  <si>
    <t xml:space="preserve">АО "Мусороуборочная компания"</t>
  </si>
  <si>
    <t>2308131994</t>
  </si>
  <si>
    <t>31695096</t>
  </si>
  <si>
    <t xml:space="preserve">ИП БАРБУКОВ АЛЕКСЕЙ ВЛАДИМИРОВИЧ</t>
  </si>
  <si>
    <t>232501819504</t>
  </si>
  <si>
    <t xml:space="preserve">02-04-2018 00:00:00</t>
  </si>
  <si>
    <t>31695100</t>
  </si>
  <si>
    <t xml:space="preserve">ИП Клоков Дмитрий Юрьевич</t>
  </si>
  <si>
    <t>231806464558</t>
  </si>
  <si>
    <t xml:space="preserve">25-01-2012 00:00:00</t>
  </si>
  <si>
    <t>31690756</t>
  </si>
  <si>
    <t xml:space="preserve">ИП Кравченко Роман Алексеевич</t>
  </si>
  <si>
    <t>232301590584</t>
  </si>
  <si>
    <t xml:space="preserve">17-03-2010 00:00:00</t>
  </si>
  <si>
    <t>31690752</t>
  </si>
  <si>
    <t xml:space="preserve">ИП Хаванцева В.Ф.</t>
  </si>
  <si>
    <t>840102155579</t>
  </si>
  <si>
    <t xml:space="preserve">24-09-2018 00:00:00</t>
  </si>
  <si>
    <t>31690585</t>
  </si>
  <si>
    <t xml:space="preserve">МБУ "ЦЕНТР БЛАГОУСТРОЙСТВА"</t>
  </si>
  <si>
    <t>2315221367</t>
  </si>
  <si>
    <t>28859549</t>
  </si>
  <si>
    <t xml:space="preserve">МБУ "ЦРЭС"</t>
  </si>
  <si>
    <t>2305028646</t>
  </si>
  <si>
    <t xml:space="preserve">23-12-2014 00:00:00</t>
  </si>
  <si>
    <t>28533992</t>
  </si>
  <si>
    <t xml:space="preserve">МП "Апшеронск"</t>
  </si>
  <si>
    <t>2325011577</t>
  </si>
  <si>
    <t xml:space="preserve">01-10-2002 00:00:00</t>
  </si>
  <si>
    <t>31690137</t>
  </si>
  <si>
    <t xml:space="preserve">МУП "АЛЕКСАНДРИЯ"</t>
  </si>
  <si>
    <t>2304035400</t>
  </si>
  <si>
    <t xml:space="preserve">31-10-2000 00:00:00</t>
  </si>
  <si>
    <t>26475806</t>
  </si>
  <si>
    <t xml:space="preserve">МУП "ККБУ"</t>
  </si>
  <si>
    <t>2306016499</t>
  </si>
  <si>
    <t>31690480</t>
  </si>
  <si>
    <t xml:space="preserve">МУП "КОММУНАЛЬЩИК"</t>
  </si>
  <si>
    <t>2304034291</t>
  </si>
  <si>
    <t>31690570</t>
  </si>
  <si>
    <t xml:space="preserve">МУП "ПШАДА"</t>
  </si>
  <si>
    <t>2304034870</t>
  </si>
  <si>
    <t>28446075</t>
  </si>
  <si>
    <t xml:space="preserve">МУП "Санитарная очистка"</t>
  </si>
  <si>
    <t>2326008182</t>
  </si>
  <si>
    <t xml:space="preserve">04-10-2006 00:00:00</t>
  </si>
  <si>
    <t>30917419</t>
  </si>
  <si>
    <t>2352052251</t>
  </si>
  <si>
    <t>26475849</t>
  </si>
  <si>
    <t xml:space="preserve">МУП благоустройства и хозяйственного обеспечения</t>
  </si>
  <si>
    <t>2304031653</t>
  </si>
  <si>
    <t>30844323</t>
  </si>
  <si>
    <t xml:space="preserve">ООО "АКВА-КРИСТАЛЛ"</t>
  </si>
  <si>
    <t>2301065164</t>
  </si>
  <si>
    <t>29648121</t>
  </si>
  <si>
    <t xml:space="preserve">ООО "Абинск-ТБО"</t>
  </si>
  <si>
    <t>2323027451</t>
  </si>
  <si>
    <t xml:space="preserve">06-02-2008 00:00:00</t>
  </si>
  <si>
    <t>31623505</t>
  </si>
  <si>
    <t xml:space="preserve">ООО "Армавиргортранс"</t>
  </si>
  <si>
    <t>2372031073</t>
  </si>
  <si>
    <t xml:space="preserve">03-10-2022 00:00:00</t>
  </si>
  <si>
    <t>31423179</t>
  </si>
  <si>
    <t xml:space="preserve">ООО "Брюховецкая-Чистая станица"</t>
  </si>
  <si>
    <t>2327012505</t>
  </si>
  <si>
    <t xml:space="preserve">04-07-2001 00:00:00</t>
  </si>
  <si>
    <t>31690152</t>
  </si>
  <si>
    <t xml:space="preserve">ООО "ВЫМПЕЛ"</t>
  </si>
  <si>
    <t>6234117206</t>
  </si>
  <si>
    <t>623401001</t>
  </si>
  <si>
    <t>28485911</t>
  </si>
  <si>
    <t xml:space="preserve">ООО "Жилсервис"</t>
  </si>
  <si>
    <t>2368005183</t>
  </si>
  <si>
    <t xml:space="preserve">18-12-2013 00:00:00</t>
  </si>
  <si>
    <t>31690268</t>
  </si>
  <si>
    <t xml:space="preserve">ООО "Золотое руно"</t>
  </si>
  <si>
    <t>6168069807</t>
  </si>
  <si>
    <t>616801001</t>
  </si>
  <si>
    <t xml:space="preserve">30-10-2013 00:00:00</t>
  </si>
  <si>
    <t>31690466</t>
  </si>
  <si>
    <t xml:space="preserve">ООО "ККБО"</t>
  </si>
  <si>
    <t>2315992169</t>
  </si>
  <si>
    <t>31695104</t>
  </si>
  <si>
    <t xml:space="preserve">ООО "Клевер"</t>
  </si>
  <si>
    <t>2311161741</t>
  </si>
  <si>
    <t xml:space="preserve">21-08-2013 00:00:00</t>
  </si>
  <si>
    <t>31544304</t>
  </si>
  <si>
    <t xml:space="preserve">ООО "КубаньПереработка"</t>
  </si>
  <si>
    <t>2312192911</t>
  </si>
  <si>
    <t xml:space="preserve">14-06-2012 00:00:00</t>
  </si>
  <si>
    <t>31690472</t>
  </si>
  <si>
    <t xml:space="preserve">ООО "КубаньУтильСервис"</t>
  </si>
  <si>
    <t>2312167390</t>
  </si>
  <si>
    <t>010701001</t>
  </si>
  <si>
    <t xml:space="preserve">28-12-2009 00:00:00</t>
  </si>
  <si>
    <t>31690485</t>
  </si>
  <si>
    <t xml:space="preserve">ООО "МАСТЕР-СЕРВИС"</t>
  </si>
  <si>
    <t>3016052666</t>
  </si>
  <si>
    <t>302501001</t>
  </si>
  <si>
    <t>31690619</t>
  </si>
  <si>
    <t xml:space="preserve">ООО "Навигатор чистоты"</t>
  </si>
  <si>
    <t>2311174395</t>
  </si>
  <si>
    <t xml:space="preserve">06-06-2014 00:00:00</t>
  </si>
  <si>
    <t>31684847</t>
  </si>
  <si>
    <t xml:space="preserve">ООО "РУС УНИВЕРСАЛ"</t>
  </si>
  <si>
    <t>2309138470</t>
  </si>
  <si>
    <t xml:space="preserve">24-10-2013 00:00:00</t>
  </si>
  <si>
    <t>31690157</t>
  </si>
  <si>
    <t xml:space="preserve">ООО "Региональная транспортная компания"</t>
  </si>
  <si>
    <t>3444186480</t>
  </si>
  <si>
    <t>770501001</t>
  </si>
  <si>
    <t xml:space="preserve">02-06-2011 00:00:00</t>
  </si>
  <si>
    <t>31680583</t>
  </si>
  <si>
    <t xml:space="preserve">ООО "Региональный оператор-КК"</t>
  </si>
  <si>
    <t>9706020414</t>
  </si>
  <si>
    <t>770601001</t>
  </si>
  <si>
    <t xml:space="preserve">06-12-2021 00:00:00</t>
  </si>
  <si>
    <t>31690580</t>
  </si>
  <si>
    <t xml:space="preserve">ООО "СТАРСТРОЙ"</t>
  </si>
  <si>
    <t>2308063783</t>
  </si>
  <si>
    <t>31224527</t>
  </si>
  <si>
    <t xml:space="preserve">ООО "Саночистка"</t>
  </si>
  <si>
    <t>2313021563</t>
  </si>
  <si>
    <t>231301001</t>
  </si>
  <si>
    <t xml:space="preserve">08-11-2006 00:00:00</t>
  </si>
  <si>
    <t>31690623</t>
  </si>
  <si>
    <t xml:space="preserve">ООО "СпецСервис"</t>
  </si>
  <si>
    <t>2311186658</t>
  </si>
  <si>
    <t xml:space="preserve">13-02-2015 00:00:00</t>
  </si>
  <si>
    <t>28493666</t>
  </si>
  <si>
    <t xml:space="preserve">ООО "СтройДизайн"</t>
  </si>
  <si>
    <t>2350010506</t>
  </si>
  <si>
    <t xml:space="preserve">27-11-2007 00:00:00</t>
  </si>
  <si>
    <t>27994567</t>
  </si>
  <si>
    <t xml:space="preserve">ООО "Терра-Н"</t>
  </si>
  <si>
    <t>2315130328</t>
  </si>
  <si>
    <t>26776191</t>
  </si>
  <si>
    <t xml:space="preserve">ООО "ТехПромКонсалтинг"</t>
  </si>
  <si>
    <t>2308129610</t>
  </si>
  <si>
    <t>31690638</t>
  </si>
  <si>
    <t xml:space="preserve">ООО "Технопроф"</t>
  </si>
  <si>
    <t>6137010458</t>
  </si>
  <si>
    <t>613701001</t>
  </si>
  <si>
    <t xml:space="preserve">22-05-2019 00:00:00</t>
  </si>
  <si>
    <t>31657183</t>
  </si>
  <si>
    <t xml:space="preserve">ООО "ТрансАльянс-Юг"</t>
  </si>
  <si>
    <t>2348038590</t>
  </si>
  <si>
    <t>31690744</t>
  </si>
  <si>
    <t xml:space="preserve">ООО "ЧЕРНОМОРСКАЯ ТОРГОВО-ПРОМЫШЛЕННАЯ КОМПАНИЯ"</t>
  </si>
  <si>
    <t>2315067771</t>
  </si>
  <si>
    <t xml:space="preserve">29-09-1995 00:00:00</t>
  </si>
  <si>
    <t>28873110</t>
  </si>
  <si>
    <t xml:space="preserve">ООО "Чистая станица"</t>
  </si>
  <si>
    <t>2341015025</t>
  </si>
  <si>
    <t xml:space="preserve">20-03-2009 00:00:00</t>
  </si>
  <si>
    <t>31690783</t>
  </si>
  <si>
    <t xml:space="preserve">ООО "Чистый Сервис Сочи"</t>
  </si>
  <si>
    <t>5405038361</t>
  </si>
  <si>
    <t>540501001</t>
  </si>
  <si>
    <t xml:space="preserve">19-03-2019 00:00:00</t>
  </si>
  <si>
    <t>31695117</t>
  </si>
  <si>
    <t xml:space="preserve">ООО "Чистый Сервис"</t>
  </si>
  <si>
    <t>5402576675</t>
  </si>
  <si>
    <t>231945001</t>
  </si>
  <si>
    <t xml:space="preserve">27-05-2014 00:00:00</t>
  </si>
  <si>
    <t>31691433</t>
  </si>
  <si>
    <t xml:space="preserve">ООО "Чистый город"</t>
  </si>
  <si>
    <t>2349025667</t>
  </si>
  <si>
    <t xml:space="preserve">14-07-2005 00:00:00</t>
  </si>
  <si>
    <t>26475825</t>
  </si>
  <si>
    <t>2353022813</t>
  </si>
  <si>
    <t xml:space="preserve">19-09-2006 00:00:00</t>
  </si>
  <si>
    <t>31695092</t>
  </si>
  <si>
    <t xml:space="preserve">ООО "ЭКОГАРАНТ"</t>
  </si>
  <si>
    <t>2318048199</t>
  </si>
  <si>
    <t xml:space="preserve">12-05-2014 00:00:00</t>
  </si>
  <si>
    <t>31691478</t>
  </si>
  <si>
    <t xml:space="preserve">ООО "Эко Ком Транс"</t>
  </si>
  <si>
    <t>5019021250</t>
  </si>
  <si>
    <t>772401001</t>
  </si>
  <si>
    <t xml:space="preserve">11-03-2009 00:00:00</t>
  </si>
  <si>
    <t>28858682</t>
  </si>
  <si>
    <t xml:space="preserve">ООО "ЭкоТон"</t>
  </si>
  <si>
    <t>2334023762</t>
  </si>
  <si>
    <t xml:space="preserve">17-12-2014 00:00:00</t>
  </si>
  <si>
    <t>30908955</t>
  </si>
  <si>
    <t xml:space="preserve">ООО "ЭкоЦентр"</t>
  </si>
  <si>
    <t>3444177534</t>
  </si>
  <si>
    <t>31230104</t>
  </si>
  <si>
    <t xml:space="preserve">ООО "ЭкоЮг"</t>
  </si>
  <si>
    <t>2337035220</t>
  </si>
  <si>
    <t xml:space="preserve">27-12-2016 00:00:00</t>
  </si>
  <si>
    <t>31456896</t>
  </si>
  <si>
    <t xml:space="preserve">ООО "Экотехпром"</t>
  </si>
  <si>
    <t>5026014960</t>
  </si>
  <si>
    <t>502701001</t>
  </si>
  <si>
    <t>31431358</t>
  </si>
  <si>
    <t xml:space="preserve">ООО "Экоформат"</t>
  </si>
  <si>
    <t>2339023967</t>
  </si>
  <si>
    <t xml:space="preserve">03-11-2016 00:00:00</t>
  </si>
  <si>
    <t>31690590</t>
  </si>
  <si>
    <t xml:space="preserve">ООО "ЮЖНЫЙ"</t>
  </si>
  <si>
    <t>2315163958</t>
  </si>
  <si>
    <t>31690614</t>
  </si>
  <si>
    <t xml:space="preserve">ООО "ЮСТК-ТБО"</t>
  </si>
  <si>
    <t>2315129330</t>
  </si>
  <si>
    <t>28469219</t>
  </si>
  <si>
    <t xml:space="preserve">ООО МП "ЖКХ" Красноармейского района</t>
  </si>
  <si>
    <t>2336023084</t>
  </si>
  <si>
    <t>31690576</t>
  </si>
  <si>
    <t xml:space="preserve">ООО МПК "Купол"</t>
  </si>
  <si>
    <t>2311114646</t>
  </si>
  <si>
    <t xml:space="preserve">27-01-2009 00:00:00</t>
  </si>
  <si>
    <t>31065246</t>
  </si>
  <si>
    <t>ООО"Кубань-ТБО"</t>
  </si>
  <si>
    <t>2308215813</t>
  </si>
  <si>
    <t xml:space="preserve">05-03-2018 00:00:00</t>
  </si>
  <si>
    <t>31680032</t>
  </si>
  <si>
    <t xml:space="preserve">Общество с ограниченной ответственностью "ПрофиСервис"</t>
  </si>
  <si>
    <t>7720433089</t>
  </si>
  <si>
    <t xml:space="preserve">19-06-2018 00:00:00</t>
  </si>
  <si>
    <t>31690739</t>
  </si>
  <si>
    <t xml:space="preserve">СОЛНЕЧНАЯ ЛОК ГЕЛЕНДЖИК</t>
  </si>
  <si>
    <t>2304002613</t>
  </si>
  <si>
    <t xml:space="preserve">25-12-1992 00:00:00</t>
  </si>
  <si>
    <t>31690476</t>
  </si>
  <si>
    <t xml:space="preserve">ФГБОУ ВО "Кубанский ГАУ"</t>
  </si>
  <si>
    <t xml:space="preserve">15-02-1994 00:00:00</t>
  </si>
  <si>
    <t>NSRF</t>
  </si>
  <si>
    <t>MR_NAME</t>
  </si>
  <si>
    <t>OKTMO_MR_NAME</t>
  </si>
  <si>
    <t>MO_NAME</t>
  </si>
  <si>
    <t>OKTMO_NAME</t>
  </si>
  <si>
    <t>TYPE</t>
  </si>
  <si>
    <t>MR_ID</t>
  </si>
  <si>
    <t xml:space="preserve">Абинский муниципальный район</t>
  </si>
  <si>
    <t>03601000</t>
  </si>
  <si>
    <t xml:space="preserve">муниципальный район</t>
  </si>
  <si>
    <t xml:space="preserve">Абинское городское</t>
  </si>
  <si>
    <t>03601101</t>
  </si>
  <si>
    <t xml:space="preserve">городское поселение, в состав которого входит город</t>
  </si>
  <si>
    <t xml:space="preserve">Ахтырское городское</t>
  </si>
  <si>
    <t>03601153</t>
  </si>
  <si>
    <t xml:space="preserve">городское поселение, в состав которого входит поселок</t>
  </si>
  <si>
    <t>Варнавинское</t>
  </si>
  <si>
    <t>03601401</t>
  </si>
  <si>
    <t xml:space="preserve">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</si>
  <si>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</si>
  <si>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</si>
  <si>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</si>
  <si>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</si>
  <si>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</si>
  <si>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</si>
  <si>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</si>
  <si>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</si>
  <si>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</si>
  <si>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</si>
  <si>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 xml:space="preserve">Апшеронский муниципальный район</t>
  </si>
  <si>
    <t>03605000</t>
  </si>
  <si>
    <t xml:space="preserve">Апшеронское городское</t>
  </si>
  <si>
    <t>03605101</t>
  </si>
  <si>
    <t>Кабардинское</t>
  </si>
  <si>
    <t>03605407</t>
  </si>
  <si>
    <t>Кубанское</t>
  </si>
  <si>
    <t>03605410</t>
  </si>
  <si>
    <t>Куринское</t>
  </si>
  <si>
    <t>03605413</t>
  </si>
  <si>
    <t>Мезмайское</t>
  </si>
  <si>
    <t>03605416</t>
  </si>
  <si>
    <t xml:space="preserve">Нефтегорское городское</t>
  </si>
  <si>
    <t>03605157</t>
  </si>
  <si>
    <t>Нижегородское</t>
  </si>
  <si>
    <t>03605418</t>
  </si>
  <si>
    <t>Новополянское</t>
  </si>
  <si>
    <t>03605419</t>
  </si>
  <si>
    <t>Отдаленное</t>
  </si>
  <si>
    <t>03605422</t>
  </si>
  <si>
    <t>Тверское</t>
  </si>
  <si>
    <t>03605431</t>
  </si>
  <si>
    <t xml:space="preserve">Хадыженское городское</t>
  </si>
  <si>
    <t>03605109</t>
  </si>
  <si>
    <t>Черниговское</t>
  </si>
  <si>
    <t>03605434</t>
  </si>
  <si>
    <t xml:space="preserve">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</si>
  <si>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</si>
  <si>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</si>
  <si>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</si>
  <si>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</si>
  <si>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</si>
  <si>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</si>
  <si>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</si>
  <si>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</si>
  <si>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</si>
  <si>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 xml:space="preserve">Белореченский муниципальный район</t>
  </si>
  <si>
    <t>03608000</t>
  </si>
  <si>
    <t xml:space="preserve">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</si>
  <si>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</si>
  <si>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</si>
  <si>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</si>
  <si>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</si>
  <si>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</si>
  <si>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</si>
  <si>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</si>
  <si>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</si>
  <si>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</si>
  <si>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</si>
  <si>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</si>
  <si>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</si>
  <si>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</si>
  <si>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</si>
  <si>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</si>
  <si>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</si>
  <si>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</si>
  <si>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</si>
  <si>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</si>
  <si>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</si>
  <si>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 xml:space="preserve">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</si>
  <si>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</si>
  <si>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</si>
  <si>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</si>
  <si>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</si>
  <si>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</si>
  <si>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</si>
  <si>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</si>
  <si>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</si>
  <si>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</si>
  <si>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</si>
  <si>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</si>
  <si>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</si>
  <si>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</si>
  <si>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</si>
  <si>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</si>
  <si>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</si>
  <si>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</si>
  <si>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 xml:space="preserve">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</si>
  <si>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</si>
  <si>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</si>
  <si>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</si>
  <si>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</si>
  <si>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</si>
  <si>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</si>
  <si>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</si>
  <si>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</si>
  <si>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</si>
  <si>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</si>
  <si>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</si>
  <si>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</si>
  <si>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</si>
  <si>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</si>
  <si>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</si>
  <si>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</si>
  <si>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</si>
  <si>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</si>
  <si>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</si>
  <si>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</si>
  <si>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</si>
  <si>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 xml:space="preserve">Город Армавир</t>
  </si>
  <si>
    <t>03705000</t>
  </si>
  <si>
    <t xml:space="preserve">городской округ</t>
  </si>
  <si>
    <t>60</t>
  </si>
  <si>
    <t xml:space="preserve">Город Горячий Ключ</t>
  </si>
  <si>
    <t>03709000</t>
  </si>
  <si>
    <t>61</t>
  </si>
  <si>
    <t xml:space="preserve">Город Краснодар</t>
  </si>
  <si>
    <t>03701000</t>
  </si>
  <si>
    <t>62</t>
  </si>
  <si>
    <t xml:space="preserve">Город Новороссийск</t>
  </si>
  <si>
    <t>03720000</t>
  </si>
  <si>
    <t>63</t>
  </si>
  <si>
    <t xml:space="preserve">Город-курорт Анапа</t>
  </si>
  <si>
    <t>03703000</t>
  </si>
  <si>
    <t>64</t>
  </si>
  <si>
    <t xml:space="preserve">Город-курорт Геленджик</t>
  </si>
  <si>
    <t>03708000</t>
  </si>
  <si>
    <t>65</t>
  </si>
  <si>
    <t xml:space="preserve">Гулькевичский муниципальный район</t>
  </si>
  <si>
    <t>03613000</t>
  </si>
  <si>
    <t>Венцы-Заря</t>
  </si>
  <si>
    <t>03613404</t>
  </si>
  <si>
    <t>67</t>
  </si>
  <si>
    <t xml:space="preserve">Гирейское городское</t>
  </si>
  <si>
    <t>03613154</t>
  </si>
  <si>
    <t>69</t>
  </si>
  <si>
    <t xml:space="preserve">Гулькевичское городское</t>
  </si>
  <si>
    <t>03613101</t>
  </si>
  <si>
    <t>70</t>
  </si>
  <si>
    <t>Комсомольское</t>
  </si>
  <si>
    <t>03613413</t>
  </si>
  <si>
    <t>71</t>
  </si>
  <si>
    <t xml:space="preserve">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</si>
  <si>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</si>
  <si>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</si>
  <si>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</si>
  <si>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</si>
  <si>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</si>
  <si>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</si>
  <si>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</si>
  <si>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</si>
  <si>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</si>
  <si>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</si>
  <si>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</si>
  <si>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</si>
  <si>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</si>
  <si>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</si>
  <si>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</si>
  <si>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</si>
  <si>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</si>
  <si>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</si>
  <si>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</si>
  <si>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</si>
  <si>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</si>
  <si>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</si>
  <si>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</si>
  <si>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</si>
  <si>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</si>
  <si>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</si>
  <si>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 xml:space="preserve">Союз Четырех Хуторов</t>
  </si>
  <si>
    <t>03613450</t>
  </si>
  <si>
    <t>81</t>
  </si>
  <si>
    <t>Тысячное</t>
  </si>
  <si>
    <t>03613455</t>
  </si>
  <si>
    <t>82</t>
  </si>
  <si>
    <t xml:space="preserve">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</si>
  <si>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</si>
  <si>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</si>
  <si>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</si>
  <si>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</si>
  <si>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</si>
  <si>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</si>
  <si>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</si>
  <si>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</si>
  <si>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</si>
  <si>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</si>
  <si>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</si>
  <si>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</si>
  <si>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</si>
  <si>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</si>
  <si>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</si>
  <si>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</si>
  <si>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</si>
  <si>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</si>
  <si>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</si>
  <si>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</si>
  <si>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</si>
  <si>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</si>
  <si>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</si>
  <si>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</si>
  <si>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</si>
  <si>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</si>
  <si>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</si>
  <si>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</si>
  <si>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</si>
  <si>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</si>
  <si>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</si>
  <si>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</si>
  <si>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 xml:space="preserve">Ейский муниципальный район</t>
  </si>
  <si>
    <t>03616000</t>
  </si>
  <si>
    <t>Александровское</t>
  </si>
  <si>
    <t>03616402</t>
  </si>
  <si>
    <t>94</t>
  </si>
  <si>
    <t>Должанское</t>
  </si>
  <si>
    <t>03616404</t>
  </si>
  <si>
    <t>95</t>
  </si>
  <si>
    <t>96</t>
  </si>
  <si>
    <t>Ейское</t>
  </si>
  <si>
    <t>03616407</t>
  </si>
  <si>
    <t>97</t>
  </si>
  <si>
    <t xml:space="preserve">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</si>
  <si>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</si>
  <si>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</si>
  <si>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</si>
  <si>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</si>
  <si>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</si>
  <si>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</si>
  <si>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</si>
  <si>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</si>
  <si>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</si>
  <si>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</si>
  <si>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</si>
  <si>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</si>
  <si>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</si>
  <si>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</si>
  <si>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</si>
  <si>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</si>
  <si>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</si>
  <si>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</si>
  <si>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</si>
  <si>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</si>
  <si>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</si>
  <si>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</si>
  <si>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</si>
  <si>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 xml:space="preserve">Кавказский муниципальный район</t>
  </si>
  <si>
    <t>03618000</t>
  </si>
  <si>
    <t>Дмитриевское</t>
  </si>
  <si>
    <t>03618404</t>
  </si>
  <si>
    <t>106</t>
  </si>
  <si>
    <t>107</t>
  </si>
  <si>
    <t>Кавказское</t>
  </si>
  <si>
    <t>03618410</t>
  </si>
  <si>
    <t>108</t>
  </si>
  <si>
    <t>Казанское</t>
  </si>
  <si>
    <t>03618413</t>
  </si>
  <si>
    <t>109</t>
  </si>
  <si>
    <t xml:space="preserve">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</si>
  <si>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</si>
  <si>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</si>
  <si>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</si>
  <si>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</si>
  <si>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</si>
  <si>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</si>
  <si>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</si>
  <si>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</si>
  <si>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</si>
  <si>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</si>
  <si>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</si>
  <si>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</si>
  <si>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</si>
  <si>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</si>
  <si>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 xml:space="preserve">им М Горького</t>
  </si>
  <si>
    <t>03618407</t>
  </si>
  <si>
    <t>115</t>
  </si>
  <si>
    <t xml:space="preserve">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</si>
  <si>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</si>
  <si>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</si>
  <si>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</si>
  <si>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</si>
  <si>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</si>
  <si>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</si>
  <si>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</si>
  <si>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</si>
  <si>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</si>
  <si>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</si>
  <si>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</si>
  <si>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</si>
  <si>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</si>
  <si>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</si>
  <si>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</si>
  <si>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</si>
  <si>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</si>
  <si>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</si>
  <si>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</si>
  <si>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</si>
  <si>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</si>
  <si>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</si>
  <si>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</si>
  <si>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</si>
  <si>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</si>
  <si>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</si>
  <si>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 xml:space="preserve">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</si>
  <si>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</si>
  <si>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</si>
  <si>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</si>
  <si>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</si>
  <si>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</si>
  <si>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</si>
  <si>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</si>
  <si>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</si>
  <si>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</si>
  <si>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</si>
  <si>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</si>
  <si>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</si>
  <si>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</si>
  <si>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</si>
  <si>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</si>
  <si>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</si>
  <si>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</si>
  <si>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</si>
  <si>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</si>
  <si>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</si>
  <si>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</si>
  <si>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</si>
  <si>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</si>
  <si>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</si>
  <si>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</si>
  <si>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</si>
  <si>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</si>
  <si>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</si>
  <si>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</si>
  <si>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 xml:space="preserve">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</si>
  <si>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</si>
  <si>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</si>
  <si>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</si>
  <si>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</si>
  <si>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</si>
  <si>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</si>
  <si>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</si>
  <si>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</si>
  <si>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</si>
  <si>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</si>
  <si>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</si>
  <si>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</si>
  <si>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</si>
  <si>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</si>
  <si>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 xml:space="preserve">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</si>
  <si>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</si>
  <si>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</si>
  <si>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</si>
  <si>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</si>
  <si>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</si>
  <si>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</si>
  <si>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</si>
  <si>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</si>
  <si>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</si>
  <si>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</si>
  <si>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</si>
  <si>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</si>
  <si>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</si>
  <si>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</si>
  <si>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</si>
  <si>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</si>
  <si>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</si>
  <si>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 xml:space="preserve">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</si>
  <si>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</si>
  <si>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</si>
  <si>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</si>
  <si>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</si>
  <si>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</si>
  <si>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</si>
  <si>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</si>
  <si>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</si>
  <si>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</si>
  <si>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</si>
  <si>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</si>
  <si>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</si>
  <si>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</si>
  <si>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</si>
  <si>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</si>
  <si>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</si>
  <si>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</si>
  <si>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</si>
  <si>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</si>
  <si>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</si>
  <si>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</si>
  <si>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</si>
  <si>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</si>
  <si>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</si>
  <si>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</si>
  <si>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</si>
  <si>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</si>
  <si>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</si>
  <si>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</si>
  <si>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</si>
  <si>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</si>
  <si>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</si>
  <si>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 xml:space="preserve">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</si>
  <si>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</si>
  <si>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</si>
  <si>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</si>
  <si>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</si>
  <si>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</si>
  <si>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</si>
  <si>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</si>
  <si>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</si>
  <si>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</si>
  <si>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</si>
  <si>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</si>
  <si>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</si>
  <si>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</si>
  <si>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</si>
  <si>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</si>
  <si>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</si>
  <si>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</si>
  <si>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</si>
  <si>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</si>
  <si>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 xml:space="preserve">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</si>
  <si>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</si>
  <si>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</si>
  <si>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</si>
  <si>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</si>
  <si>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</si>
  <si>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</si>
  <si>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</si>
  <si>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</si>
  <si>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</si>
  <si>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</si>
  <si>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</si>
  <si>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</si>
  <si>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</si>
  <si>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</si>
  <si>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 xml:space="preserve">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</si>
  <si>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</si>
  <si>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</si>
  <si>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</si>
  <si>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</si>
  <si>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</si>
  <si>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</si>
  <si>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</si>
  <si>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</si>
  <si>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</si>
  <si>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</si>
  <si>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</si>
  <si>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</si>
  <si>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</si>
  <si>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</si>
  <si>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</si>
  <si>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</si>
  <si>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</si>
  <si>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</si>
  <si>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</si>
  <si>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</si>
  <si>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 xml:space="preserve">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</si>
  <si>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</si>
  <si>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</si>
  <si>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</si>
  <si>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</si>
  <si>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</si>
  <si>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</si>
  <si>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</si>
  <si>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</si>
  <si>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</si>
  <si>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</si>
  <si>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</si>
  <si>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 xml:space="preserve">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</si>
  <si>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</si>
  <si>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</si>
  <si>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</si>
  <si>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</si>
  <si>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</si>
  <si>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</si>
  <si>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</si>
  <si>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</si>
  <si>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</si>
  <si>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</si>
  <si>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</si>
  <si>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</si>
  <si>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</si>
  <si>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</si>
  <si>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</si>
  <si>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</si>
  <si>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</si>
  <si>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</si>
  <si>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 xml:space="preserve">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</si>
  <si>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</si>
  <si>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</si>
  <si>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</si>
  <si>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</si>
  <si>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</si>
  <si>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</si>
  <si>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</si>
  <si>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</si>
  <si>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</si>
  <si>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</si>
  <si>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</si>
  <si>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</si>
  <si>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</si>
  <si>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</si>
  <si>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</si>
  <si>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</si>
  <si>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</si>
  <si>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</si>
  <si>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</si>
  <si>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</si>
  <si>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</si>
  <si>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</si>
  <si>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</si>
  <si>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</si>
  <si>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</si>
  <si>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</si>
  <si>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</si>
  <si>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</si>
  <si>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</si>
  <si>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</si>
  <si>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</si>
  <si>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</si>
  <si>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</si>
  <si>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</si>
  <si>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</si>
  <si>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 xml:space="preserve">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</si>
  <si>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</si>
  <si>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</si>
  <si>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</si>
  <si>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</si>
  <si>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</si>
  <si>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</si>
  <si>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</si>
  <si>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</si>
  <si>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</si>
  <si>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</si>
  <si>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</si>
  <si>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</si>
  <si>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</si>
  <si>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</si>
  <si>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</si>
  <si>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</si>
  <si>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</si>
  <si>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 xml:space="preserve">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</si>
  <si>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</si>
  <si>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</si>
  <si>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</si>
  <si>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</si>
  <si>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</si>
  <si>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</si>
  <si>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</si>
  <si>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</si>
  <si>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</si>
  <si>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</si>
  <si>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</si>
  <si>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</si>
  <si>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</si>
  <si>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</si>
  <si>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</si>
  <si>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</si>
  <si>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</si>
  <si>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</si>
  <si>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</si>
  <si>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</si>
  <si>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</si>
  <si>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</si>
  <si>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</si>
  <si>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 xml:space="preserve">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</si>
  <si>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</si>
  <si>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</si>
  <si>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</si>
  <si>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</si>
  <si>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</si>
  <si>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</si>
  <si>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</si>
  <si>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</si>
  <si>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</si>
  <si>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</si>
  <si>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</si>
  <si>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</si>
  <si>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</si>
  <si>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</si>
  <si>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</si>
  <si>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</si>
  <si>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</si>
  <si>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</si>
  <si>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</si>
  <si>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</si>
  <si>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</si>
  <si>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</si>
  <si>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</si>
  <si>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</si>
  <si>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</si>
  <si>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</si>
  <si>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</si>
  <si>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</si>
  <si>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</si>
  <si>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</si>
  <si>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</si>
  <si>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</si>
  <si>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</si>
  <si>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</si>
  <si>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</si>
  <si>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</si>
  <si>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 xml:space="preserve">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</si>
  <si>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</si>
  <si>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</si>
  <si>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</si>
  <si>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</si>
  <si>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</si>
  <si>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</si>
  <si>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</si>
  <si>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</si>
  <si>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</si>
  <si>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</si>
  <si>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</si>
  <si>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</si>
  <si>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</si>
  <si>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</si>
  <si>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</si>
  <si>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</si>
  <si>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</si>
  <si>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</si>
  <si>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</si>
  <si>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</si>
  <si>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</si>
  <si>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</si>
  <si>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</si>
  <si>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</si>
  <si>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</si>
  <si>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</si>
  <si>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 xml:space="preserve">Мостовское городское</t>
  </si>
  <si>
    <t>03633151</t>
  </si>
  <si>
    <t>236</t>
  </si>
  <si>
    <t>Переправненское</t>
  </si>
  <si>
    <t>03633449</t>
  </si>
  <si>
    <t>237</t>
  </si>
  <si>
    <t xml:space="preserve">Псебайское городское</t>
  </si>
  <si>
    <t>03633156</t>
  </si>
  <si>
    <t>238</t>
  </si>
  <si>
    <t>Унароковское</t>
  </si>
  <si>
    <t>03633452</t>
  </si>
  <si>
    <t>239</t>
  </si>
  <si>
    <t>Шедокское</t>
  </si>
  <si>
    <t>03633461</t>
  </si>
  <si>
    <t>240</t>
  </si>
  <si>
    <t>Ярославское</t>
  </si>
  <si>
    <t>03633464</t>
  </si>
  <si>
    <t>241</t>
  </si>
  <si>
    <t xml:space="preserve">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</si>
  <si>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</si>
  <si>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</si>
  <si>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</si>
  <si>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</si>
  <si>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</si>
  <si>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</si>
  <si>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</si>
  <si>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</si>
  <si>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</si>
  <si>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</si>
  <si>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</si>
  <si>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</si>
  <si>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</si>
  <si>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</si>
  <si>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 xml:space="preserve">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</si>
  <si>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</si>
  <si>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</si>
  <si>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</si>
  <si>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</si>
  <si>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</si>
  <si>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</si>
  <si>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</si>
  <si>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</si>
  <si>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</si>
  <si>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</si>
  <si>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</si>
  <si>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</si>
  <si>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</si>
  <si>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 xml:space="preserve">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</si>
  <si>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</si>
  <si>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</si>
  <si>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</si>
  <si>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</si>
  <si>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</si>
  <si>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</si>
  <si>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</si>
  <si>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</si>
  <si>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</si>
  <si>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</si>
  <si>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</si>
  <si>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</si>
  <si>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</si>
  <si>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</si>
  <si>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</si>
  <si>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</si>
  <si>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</si>
  <si>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</si>
  <si>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</si>
  <si>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</si>
  <si>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</si>
  <si>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</si>
  <si>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</si>
  <si>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</si>
  <si>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 xml:space="preserve">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</si>
  <si>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</si>
  <si>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</si>
  <si>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</si>
  <si>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</si>
  <si>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</si>
  <si>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</si>
  <si>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</si>
  <si>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</si>
  <si>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</si>
  <si>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</si>
  <si>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</si>
  <si>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</si>
  <si>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</si>
  <si>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</si>
  <si>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</si>
  <si>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</si>
  <si>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</si>
  <si>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</si>
  <si>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</si>
  <si>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</si>
  <si>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</si>
  <si>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</si>
  <si>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</si>
  <si>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</si>
  <si>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</si>
  <si>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</si>
  <si>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</si>
  <si>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</si>
  <si>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</si>
  <si>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</si>
  <si>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</si>
  <si>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</si>
  <si>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</si>
  <si>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</si>
  <si>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</si>
  <si>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</si>
  <si>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</si>
  <si>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</si>
  <si>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</si>
  <si>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</si>
  <si>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</si>
  <si>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</si>
  <si>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</si>
  <si>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 xml:space="preserve">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</si>
  <si>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</si>
  <si>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</si>
  <si>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</si>
  <si>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</si>
  <si>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</si>
  <si>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</si>
  <si>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</si>
  <si>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</si>
  <si>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</si>
  <si>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</si>
  <si>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</si>
  <si>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</si>
  <si>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</si>
  <si>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</si>
  <si>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</si>
  <si>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</si>
  <si>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</si>
  <si>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</si>
  <si>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</si>
  <si>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</si>
  <si>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</si>
  <si>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</si>
  <si>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</si>
  <si>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</si>
  <si>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</si>
  <si>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</si>
  <si>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</si>
  <si>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</si>
  <si>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</si>
  <si>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</si>
  <si>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</si>
  <si>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</si>
  <si>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</si>
  <si>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 xml:space="preserve">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</si>
  <si>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</si>
  <si>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</si>
  <si>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</si>
  <si>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</si>
  <si>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</si>
  <si>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</si>
  <si>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</si>
  <si>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</si>
  <si>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</si>
  <si>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</si>
  <si>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</si>
  <si>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</si>
  <si>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</si>
  <si>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</si>
  <si>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</si>
  <si>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</si>
  <si>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</si>
  <si>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</si>
  <si>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 xml:space="preserve">Приморско-Ахтарское городское</t>
  </si>
  <si>
    <t>03641101</t>
  </si>
  <si>
    <t>295</t>
  </si>
  <si>
    <t>Свободное</t>
  </si>
  <si>
    <t>03641416</t>
  </si>
  <si>
    <t>296</t>
  </si>
  <si>
    <t>Степное</t>
  </si>
  <si>
    <t>03641419</t>
  </si>
  <si>
    <t>297</t>
  </si>
  <si>
    <t xml:space="preserve">Северский муниципальный район</t>
  </si>
  <si>
    <t>03643000</t>
  </si>
  <si>
    <t>Азовское</t>
  </si>
  <si>
    <t>03643402</t>
  </si>
  <si>
    <t>298</t>
  </si>
  <si>
    <t xml:space="preserve">Афипское городское</t>
  </si>
  <si>
    <t>03643152</t>
  </si>
  <si>
    <t>299</t>
  </si>
  <si>
    <t>Григорьевское</t>
  </si>
  <si>
    <t>03643404</t>
  </si>
  <si>
    <t>300</t>
  </si>
  <si>
    <t xml:space="preserve">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</si>
  <si>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</si>
  <si>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</si>
  <si>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</si>
  <si>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</si>
  <si>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</si>
  <si>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</si>
  <si>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</si>
  <si>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</si>
  <si>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</si>
  <si>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</si>
  <si>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</si>
  <si>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</si>
  <si>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</si>
  <si>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</si>
  <si>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</si>
  <si>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</si>
  <si>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</si>
  <si>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</si>
  <si>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</si>
  <si>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</si>
  <si>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</si>
  <si>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</si>
  <si>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</si>
  <si>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</si>
  <si>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</si>
  <si>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</si>
  <si>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 xml:space="preserve">Славянский муниципальный район</t>
  </si>
  <si>
    <t>03645000</t>
  </si>
  <si>
    <t>Анастасиевское</t>
  </si>
  <si>
    <t>03645402</t>
  </si>
  <si>
    <t>312</t>
  </si>
  <si>
    <t>Ачуевское</t>
  </si>
  <si>
    <t>03645401</t>
  </si>
  <si>
    <t>313</t>
  </si>
  <si>
    <t xml:space="preserve">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</si>
  <si>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</si>
  <si>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</si>
  <si>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</si>
  <si>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</si>
  <si>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</si>
  <si>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</si>
  <si>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</si>
  <si>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</si>
  <si>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</si>
  <si>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</si>
  <si>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</si>
  <si>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</si>
  <si>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</si>
  <si>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</si>
  <si>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</si>
  <si>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</si>
  <si>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</si>
  <si>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</si>
  <si>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</si>
  <si>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</si>
  <si>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</si>
  <si>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</si>
  <si>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</si>
  <si>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</si>
  <si>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</si>
  <si>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</si>
  <si>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</si>
  <si>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</si>
  <si>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</si>
  <si>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 xml:space="preserve">Славянское городское</t>
  </si>
  <si>
    <t>03645101</t>
  </si>
  <si>
    <t>325</t>
  </si>
  <si>
    <t>Целинное</t>
  </si>
  <si>
    <t>03645425</t>
  </si>
  <si>
    <t>326</t>
  </si>
  <si>
    <t>Черноерковское</t>
  </si>
  <si>
    <t>03645429</t>
  </si>
  <si>
    <t>327</t>
  </si>
  <si>
    <t xml:space="preserve">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</si>
  <si>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</si>
  <si>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</si>
  <si>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</si>
  <si>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</si>
  <si>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</si>
  <si>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</si>
  <si>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</si>
  <si>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</si>
  <si>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</si>
  <si>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</si>
  <si>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</si>
  <si>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</si>
  <si>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</si>
  <si>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</si>
  <si>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</si>
  <si>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</si>
  <si>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 xml:space="preserve">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</si>
  <si>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</si>
  <si>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</si>
  <si>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</si>
  <si>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</si>
  <si>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</si>
  <si>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</si>
  <si>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</si>
  <si>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</si>
  <si>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</si>
  <si>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</si>
  <si>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</si>
  <si>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</si>
  <si>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</si>
  <si>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</si>
  <si>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</si>
  <si>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</si>
  <si>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</si>
  <si>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</si>
  <si>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</si>
  <si>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</si>
  <si>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</si>
  <si>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</si>
  <si>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</si>
  <si>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</si>
  <si>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</si>
  <si>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</si>
  <si>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 xml:space="preserve">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</si>
  <si>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</si>
  <si>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</si>
  <si>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</si>
  <si>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</si>
  <si>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</si>
  <si>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</si>
  <si>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</si>
  <si>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</si>
  <si>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</si>
  <si>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</si>
  <si>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</si>
  <si>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</si>
  <si>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</si>
  <si>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</si>
  <si>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</si>
  <si>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</si>
  <si>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</si>
  <si>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</si>
  <si>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</si>
  <si>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</si>
  <si>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</si>
  <si>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</si>
  <si>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</si>
  <si>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</si>
  <si>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</si>
  <si>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</si>
  <si>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</si>
  <si>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</si>
  <si>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</si>
  <si>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</si>
  <si>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</si>
  <si>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</si>
  <si>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 xml:space="preserve">Темрюкское городское</t>
  </si>
  <si>
    <t>03651101</t>
  </si>
  <si>
    <t>354</t>
  </si>
  <si>
    <t>Фонталовское</t>
  </si>
  <si>
    <t>03651430</t>
  </si>
  <si>
    <t>355</t>
  </si>
  <si>
    <t xml:space="preserve">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</si>
  <si>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</si>
  <si>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</si>
  <si>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</si>
  <si>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</si>
  <si>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</si>
  <si>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</si>
  <si>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</si>
  <si>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</si>
  <si>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</si>
  <si>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</si>
  <si>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</si>
  <si>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</si>
  <si>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</si>
  <si>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</si>
  <si>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</si>
  <si>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</si>
  <si>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</si>
  <si>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</si>
  <si>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</si>
  <si>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</si>
  <si>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</si>
  <si>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</si>
  <si>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</si>
  <si>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</si>
  <si>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</si>
  <si>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</si>
  <si>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</si>
  <si>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</si>
  <si>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</si>
  <si>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 xml:space="preserve">Тимашевское городское</t>
  </si>
  <si>
    <t>03653101</t>
  </si>
  <si>
    <t>366</t>
  </si>
  <si>
    <t xml:space="preserve">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</si>
  <si>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</si>
  <si>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</si>
  <si>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</si>
  <si>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</si>
  <si>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</si>
  <si>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</si>
  <si>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</si>
  <si>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</si>
  <si>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</si>
  <si>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</si>
  <si>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</si>
  <si>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</si>
  <si>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</si>
  <si>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Крутое</t>
  </si>
  <si>
    <t>03654408</t>
  </si>
  <si>
    <t>371</t>
  </si>
  <si>
    <t>Новорождественское</t>
  </si>
  <si>
    <t>03654410</t>
  </si>
  <si>
    <t>372</t>
  </si>
  <si>
    <t>03654413</t>
  </si>
  <si>
    <t>373</t>
  </si>
  <si>
    <t>Парковское</t>
  </si>
  <si>
    <t>03654416</t>
  </si>
  <si>
    <t>374</t>
  </si>
  <si>
    <t>Терновское</t>
  </si>
  <si>
    <t>03654419</t>
  </si>
  <si>
    <t>375</t>
  </si>
  <si>
    <t>376</t>
  </si>
  <si>
    <t xml:space="preserve">Тихорецкое городское</t>
  </si>
  <si>
    <t>03654101</t>
  </si>
  <si>
    <t>377</t>
  </si>
  <si>
    <t>Фастовецкое</t>
  </si>
  <si>
    <t>03654422</t>
  </si>
  <si>
    <t>378</t>
  </si>
  <si>
    <t>Хоперское</t>
  </si>
  <si>
    <t>03654425</t>
  </si>
  <si>
    <t>379</t>
  </si>
  <si>
    <t>Юго-Северное</t>
  </si>
  <si>
    <t>03654435</t>
  </si>
  <si>
    <t>380</t>
  </si>
  <si>
    <t xml:space="preserve">Туапсинский муниципальный район</t>
  </si>
  <si>
    <t>03655000</t>
  </si>
  <si>
    <t>Вельяминовское</t>
  </si>
  <si>
    <t>03655404</t>
  </si>
  <si>
    <t>381</t>
  </si>
  <si>
    <t>Георгиевское</t>
  </si>
  <si>
    <t>03655407</t>
  </si>
  <si>
    <t>382</t>
  </si>
  <si>
    <t xml:space="preserve">Джубгское городское</t>
  </si>
  <si>
    <t>03655154</t>
  </si>
  <si>
    <t>383</t>
  </si>
  <si>
    <t>Небугское</t>
  </si>
  <si>
    <t>03655402</t>
  </si>
  <si>
    <t>384</t>
  </si>
  <si>
    <t xml:space="preserve">Новомихайловское городское</t>
  </si>
  <si>
    <t>03655158</t>
  </si>
  <si>
    <t>385</t>
  </si>
  <si>
    <t>03655410</t>
  </si>
  <si>
    <t>386</t>
  </si>
  <si>
    <t>Тенгинское</t>
  </si>
  <si>
    <t>03655412</t>
  </si>
  <si>
    <t>387</t>
  </si>
  <si>
    <t>388</t>
  </si>
  <si>
    <t>Туапсинское</t>
  </si>
  <si>
    <t>03655101</t>
  </si>
  <si>
    <t>389</t>
  </si>
  <si>
    <t>Шаумянское</t>
  </si>
  <si>
    <t>03655413</t>
  </si>
  <si>
    <t>390</t>
  </si>
  <si>
    <t>Шепсинское</t>
  </si>
  <si>
    <t>03655415</t>
  </si>
  <si>
    <t>391</t>
  </si>
  <si>
    <t xml:space="preserve">Успенский муниципальный район</t>
  </si>
  <si>
    <t>03656000</t>
  </si>
  <si>
    <t>03656402</t>
  </si>
  <si>
    <t>392</t>
  </si>
  <si>
    <t>Вольненское</t>
  </si>
  <si>
    <t>03656404</t>
  </si>
  <si>
    <t>393</t>
  </si>
  <si>
    <t>Коноковское</t>
  </si>
  <si>
    <t>03656410</t>
  </si>
  <si>
    <t>394</t>
  </si>
  <si>
    <t>Кургоковское</t>
  </si>
  <si>
    <t>03656413</t>
  </si>
  <si>
    <t>395</t>
  </si>
  <si>
    <t>Маламинское</t>
  </si>
  <si>
    <t>03656416</t>
  </si>
  <si>
    <t>396</t>
  </si>
  <si>
    <t>Николаевское</t>
  </si>
  <si>
    <t>03656419</t>
  </si>
  <si>
    <t>397</t>
  </si>
  <si>
    <t>Трехсельское</t>
  </si>
  <si>
    <t>03656434</t>
  </si>
  <si>
    <t>398</t>
  </si>
  <si>
    <t>Убеженское</t>
  </si>
  <si>
    <t>03656437</t>
  </si>
  <si>
    <t>399</t>
  </si>
  <si>
    <t>Урупское</t>
  </si>
  <si>
    <t>03656440</t>
  </si>
  <si>
    <t>400</t>
  </si>
  <si>
    <t>401</t>
  </si>
  <si>
    <t>03656443</t>
  </si>
  <si>
    <t>402</t>
  </si>
  <si>
    <t xml:space="preserve">Усть-Лабинский муниципальный район</t>
  </si>
  <si>
    <t>03657000</t>
  </si>
  <si>
    <t>03657402</t>
  </si>
  <si>
    <t>403</t>
  </si>
  <si>
    <t>03657404</t>
  </si>
  <si>
    <t>404</t>
  </si>
  <si>
    <t>Вимовское</t>
  </si>
  <si>
    <t>03657405</t>
  </si>
  <si>
    <t>405</t>
  </si>
  <si>
    <t>Воронежское</t>
  </si>
  <si>
    <t>03657407</t>
  </si>
  <si>
    <t>406</t>
  </si>
  <si>
    <t>03657410</t>
  </si>
  <si>
    <t>407</t>
  </si>
  <si>
    <t>Двубратское</t>
  </si>
  <si>
    <t>03657412</t>
  </si>
  <si>
    <t>408</t>
  </si>
  <si>
    <t>Железное</t>
  </si>
  <si>
    <t>03657413</t>
  </si>
  <si>
    <t>409</t>
  </si>
  <si>
    <t>Кирпильское</t>
  </si>
  <si>
    <t>03657416</t>
  </si>
  <si>
    <t>410</t>
  </si>
  <si>
    <t>Ладожское</t>
  </si>
  <si>
    <t>03657419</t>
  </si>
  <si>
    <t>411</t>
  </si>
  <si>
    <t>Ленинское</t>
  </si>
  <si>
    <t>03657422</t>
  </si>
  <si>
    <t>412</t>
  </si>
  <si>
    <t>Некрасовское</t>
  </si>
  <si>
    <t>03657425</t>
  </si>
  <si>
    <t>413</t>
  </si>
  <si>
    <t>Новолабинское</t>
  </si>
  <si>
    <t>03657428</t>
  </si>
  <si>
    <t>414</t>
  </si>
  <si>
    <t>Суворовское</t>
  </si>
  <si>
    <t>03657431</t>
  </si>
  <si>
    <t>415</t>
  </si>
  <si>
    <t>03657433</t>
  </si>
  <si>
    <t>416</t>
  </si>
  <si>
    <t>417</t>
  </si>
  <si>
    <t xml:space="preserve">Усть-Лабинское городское</t>
  </si>
  <si>
    <t>03657101</t>
  </si>
  <si>
    <t>418</t>
  </si>
  <si>
    <t xml:space="preserve">Щербиновский муниципальный район</t>
  </si>
  <si>
    <t>03659000</t>
  </si>
  <si>
    <t>Глафировское</t>
  </si>
  <si>
    <t>03659402</t>
  </si>
  <si>
    <t>419</t>
  </si>
  <si>
    <t>Ейскоукрепленское</t>
  </si>
  <si>
    <t>03659404</t>
  </si>
  <si>
    <t>420</t>
  </si>
  <si>
    <t>Екатериновское</t>
  </si>
  <si>
    <t>03659407</t>
  </si>
  <si>
    <t>421</t>
  </si>
  <si>
    <t>03659409</t>
  </si>
  <si>
    <t>422</t>
  </si>
  <si>
    <t>Новощербиновское</t>
  </si>
  <si>
    <t>03659410</t>
  </si>
  <si>
    <t>423</t>
  </si>
  <si>
    <t>Старощербиновское</t>
  </si>
  <si>
    <t>03659413</t>
  </si>
  <si>
    <t>424</t>
  </si>
  <si>
    <t>Шабельское</t>
  </si>
  <si>
    <t>03659416</t>
  </si>
  <si>
    <t>425</t>
  </si>
  <si>
    <t>426</t>
  </si>
  <si>
    <t>Щербиновское</t>
  </si>
  <si>
    <t>03659419</t>
  </si>
  <si>
    <t>427</t>
  </si>
  <si>
    <t>NUMBER_POINT</t>
  </si>
  <si>
    <t>L_NAME</t>
  </si>
  <si>
    <t>L_START_DATE</t>
  </si>
  <si>
    <t>L_END_DATE</t>
  </si>
  <si>
    <t xml:space="preserve">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</si>
  <si>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</si>
  <si>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</si>
  <si>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 xml:space="preserve">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</si>
  <si>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</si>
  <si>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</si>
  <si>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 xml:space="preserve">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</si>
  <si>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</si>
  <si>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</si>
  <si>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 xml:space="preserve">Инвестиционная программа № 15/2020-ИП от 23.12.2020 ООО "ЦУП ЖКХ" в сфере теплоснабжения по развитию систем теплоснабжения, на территории муниципального района Ейский на 2020-2025 годы</t>
  </si>
  <si>
    <t>24.12.2020</t>
  </si>
  <si>
    <t xml:space="preserve">Инвестиционная программа № 17/2018 от 30.10.2018 АО "Краснодартеплосеть" в сфере теплоснабжения по развитию систем теплоснабжения на 2019-2023 годы</t>
  </si>
  <si>
    <t>01.01.2019</t>
  </si>
  <si>
    <t>31.12.2023</t>
  </si>
  <si>
    <t xml:space="preserve">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</si>
  <si>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</si>
  <si>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 xml:space="preserve">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</si>
  <si>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</si>
  <si>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 xml:space="preserve">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</si>
  <si>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</si>
  <si>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 xml:space="preserve">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</si>
  <si>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</si>
  <si>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 xml:space="preserve">Инвестиционная программа № 6/2019 от 24.07.2019 ЗАО "Усть-Лабинсктеплоэнерго" в сфере теплоснабжения по развитию систем теплоснабжения, на территории муниципального района Усть-Лабинский на 2020-2023 годы</t>
  </si>
  <si>
    <t>01.01.2020</t>
  </si>
  <si>
    <t xml:space="preserve">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</si>
  <si>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</si>
  <si>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</si>
  <si>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 xml:space="preserve">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</si>
  <si>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 xml:space="preserve">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</si>
  <si>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</si>
  <si>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 xml:space="preserve">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</si>
  <si>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</si>
  <si>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 xml:space="preserve">Инвестиционная программа Армавирского филиала ООО "Газпром теплоэнерго Краснодар" по реконструкции и модернизации системы теплоснабжения на 2018-2020 годы</t>
  </si>
  <si>
    <t>01.01.2018</t>
  </si>
  <si>
    <t>31.12.2020</t>
  </si>
  <si>
    <t xml:space="preserve">Инвестиционная программа ООО "Центр управления проектами в жилищно-коммунальном хозяйстве" по развитию системы теплоснабжения муниципального образования Ленинградский район на период 2017-2026 гг.</t>
  </si>
  <si>
    <t>01.01.2017</t>
  </si>
  <si>
    <t xml:space="preserve">Инвестиционная программа от 28.10.2020 Индивидуальный предприниматель Соболев Алексей Михайлович в сфере теплоснабжения по реконструкции тепловых сетей, на территории сельского поселения Казанское, Кавказский муниципальный район на 2020-2023 годы</t>
  </si>
  <si>
    <t>28.10.2020</t>
  </si>
  <si>
    <t xml:space="preserve">Инвестиционная программа от 30.10.2018 Филиал АО "АТЭК" "Краснодартеплоэнерго" в сфере теплоснабжения по развитию систем теплоснабжения, на территории городского округа Краснодар на 2019-2023 годы</t>
  </si>
  <si>
    <t>TER_NAME</t>
  </si>
  <si>
    <t xml:space="preserve">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</si>
  <si>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</si>
  <si>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</si>
  <si>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</si>
  <si>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</si>
  <si>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</si>
  <si>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</si>
  <si>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</si>
  <si>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</si>
  <si>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</si>
  <si>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</si>
  <si>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</si>
  <si>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</si>
  <si>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</si>
  <si>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</si>
  <si>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</si>
  <si>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</si>
  <si>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</si>
  <si>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</si>
  <si>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</si>
  <si>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</si>
  <si>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</si>
  <si>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</si>
  <si>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</si>
  <si>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</si>
  <si>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</si>
  <si>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</si>
  <si>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</si>
  <si>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</si>
  <si>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</si>
  <si>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</si>
  <si>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</si>
  <si>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</si>
  <si>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</si>
  <si>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</si>
  <si>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 xml:space="preserve">Расчетные листы</t>
  </si>
  <si>
    <t xml:space="preserve">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</si>
  <si>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</si>
  <si>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</si>
  <si>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</si>
  <si>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</si>
  <si>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</si>
  <si>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</si>
  <si>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</si>
  <si>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</si>
  <si>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</si>
  <si>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</si>
  <si>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</si>
  <si>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</si>
  <si>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</si>
  <si>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</si>
  <si>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</si>
  <si>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</si>
  <si>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</si>
  <si>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</si>
  <si>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</si>
  <si>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</si>
  <si>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</si>
  <si>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</si>
  <si>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</si>
  <si>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</si>
  <si>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</si>
  <si>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</si>
  <si>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</si>
  <si>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</si>
  <si>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</si>
  <si>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</si>
  <si>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</si>
  <si>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</si>
  <si>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</si>
  <si>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</si>
  <si>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</si>
  <si>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</si>
  <si>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</si>
  <si>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</si>
  <si>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</si>
  <si>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</si>
  <si>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</si>
  <si>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</si>
  <si>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</si>
  <si>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</si>
  <si>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</si>
  <si>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</si>
  <si>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</si>
  <si>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</si>
  <si>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</si>
  <si>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</si>
  <si>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</si>
  <si>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</si>
  <si>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</si>
  <si>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</si>
  <si>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</si>
  <si>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</si>
  <si>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</si>
  <si>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</si>
  <si>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</si>
  <si>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</si>
  <si>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</si>
  <si>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</si>
  <si>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</si>
  <si>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</si>
  <si>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</si>
  <si>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</si>
  <si>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</si>
  <si>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</si>
  <si>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</si>
  <si>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</si>
  <si>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</si>
  <si>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</si>
  <si>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</si>
  <si>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</si>
  <si>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</si>
  <si>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</si>
  <si>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</si>
  <si>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</si>
  <si>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</si>
  <si>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</si>
  <si>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</si>
  <si>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</si>
  <si>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</si>
  <si>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</si>
  <si>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</si>
  <si>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</si>
  <si>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</si>
  <si>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</si>
  <si>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</si>
  <si>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</si>
  <si>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</si>
  <si>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</si>
  <si>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</si>
  <si>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</si>
  <si>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</si>
  <si>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</si>
  <si>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</si>
  <si>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</si>
  <si>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</si>
  <si>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</si>
  <si>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</si>
  <si>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</si>
  <si>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</si>
  <si>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</si>
  <si>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</si>
  <si>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</si>
  <si>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</si>
  <si>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</si>
  <si>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</si>
  <si>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</si>
  <si>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</si>
  <si>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</si>
  <si>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</si>
  <si>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</si>
  <si>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</si>
  <si>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</si>
  <si>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</si>
  <si>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</si>
  <si>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</si>
  <si>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</si>
  <si>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</si>
  <si>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</si>
  <si>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</si>
  <si>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</si>
  <si>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</si>
  <si>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</si>
  <si>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</si>
  <si>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</si>
  <si>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</si>
  <si>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</si>
  <si>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</si>
  <si>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</si>
  <si>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</si>
  <si>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</si>
  <si>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</si>
  <si>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</si>
  <si>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</si>
  <si>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</si>
  <si>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</si>
  <si>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</si>
  <si>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</si>
  <si>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</si>
  <si>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</si>
  <si>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</si>
  <si>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</si>
  <si>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</si>
  <si>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</si>
  <si>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</si>
  <si>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</si>
  <si>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</si>
  <si>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</si>
  <si>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</si>
  <si>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</si>
  <si>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</si>
  <si>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</si>
  <si>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</si>
  <si>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</si>
  <si>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</si>
  <si>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Инструкция</t>
  </si>
  <si>
    <t xml:space="preserve">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</si>
</sst>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8">
    <numFmt numFmtId="160" formatCode="_(* #,##0.00_);_(* (#,##0.00);_(* &quot;-&quot;??_);_(@_)"/>
    <numFmt numFmtId="161" formatCode="_(* #,##0_);_(* (#,##0);_(* &quot;-&quot;_);_(@_)"/>
    <numFmt numFmtId="162" formatCode="_(&quot;$&quot;* #,##0.00_);_(&quot;$&quot;* (#,##0.00);_(&quot;$&quot;* &quot;-&quot;??_);_(@_)"/>
    <numFmt numFmtId="163" formatCode="_(&quot;$&quot;* #,##0_);_(&quot;$&quot;* (#,##0);_(&quot;$&quot;* &quot;-&quot;_);_(@_)"/>
    <numFmt numFmtId="164" formatCode="dd\.mm\.yyyy"/>
    <numFmt numFmtId="165" formatCode="000000"/>
    <numFmt numFmtId="166" formatCode="#,##0.000"/>
    <numFmt numFmtId="167" formatCode="#,##0.0000"/>
  </numFmts>
  <fonts count="115">
    <font>
      <name val="Tahoma"/>
      <color indexed="64"/>
      <sz val="9.000000"/>
    </font>
    <font>
      <name val="Calibri"/>
      <color theme="1"/>
      <sz val="11.000000"/>
      <scheme val="minor"/>
    </font>
    <font>
      <name val="Calibri"/>
      <color theme="0"/>
      <sz val="11.000000"/>
      <scheme val="minor"/>
    </font>
    <font>
      <name val="Calibri"/>
      <color rgb="FF9C0006"/>
      <sz val="11.000000"/>
      <scheme val="minor"/>
    </font>
    <font>
      <name val="Calibri"/>
      <b/>
      <color rgb="FFFA7D00"/>
      <sz val="11.000000"/>
      <scheme val="minor"/>
    </font>
    <font>
      <name val="Calibri"/>
      <b/>
      <color theme="0"/>
      <sz val="11.000000"/>
      <scheme val="minor"/>
    </font>
    <font>
      <name val="Calibri"/>
      <color indexed="64"/>
      <sz val="11.000000"/>
    </font>
    <font>
      <name val="Calibri"/>
      <i/>
      <color rgb="FF7F7F7F"/>
      <sz val="11.000000"/>
      <scheme val="minor"/>
    </font>
    <font>
      <name val="Calibri"/>
      <color rgb="FF006100"/>
      <sz val="11.000000"/>
      <scheme val="minor"/>
    </font>
    <font>
      <name val="Calibri"/>
      <b/>
      <color theme="3"/>
      <sz val="15.000000"/>
      <scheme val="minor"/>
    </font>
    <font>
      <name val="Calibri"/>
      <b/>
      <color theme="3"/>
      <sz val="13.000000"/>
      <scheme val="minor"/>
    </font>
    <font>
      <name val="Calibri"/>
      <b/>
      <color theme="3"/>
      <sz val="11.000000"/>
      <scheme val="minor"/>
    </font>
    <font>
      <name val="Calibri"/>
      <color rgb="FF3F3F76"/>
      <sz val="11.000000"/>
      <scheme val="minor"/>
    </font>
    <font>
      <name val="Calibri"/>
      <color rgb="FFFA7D00"/>
      <sz val="11.000000"/>
      <scheme val="minor"/>
    </font>
    <font>
      <name val="Calibri"/>
      <color rgb="FF9C6500"/>
      <sz val="11.000000"/>
      <scheme val="minor"/>
    </font>
    <font>
      <name val="Calibri"/>
      <b/>
      <color rgb="FF3F3F3F"/>
      <sz val="11.000000"/>
      <scheme val="minor"/>
    </font>
    <font>
      <name val="Cambria"/>
      <b/>
      <color theme="3"/>
      <sz val="18.000000"/>
      <scheme val="major"/>
    </font>
    <font>
      <name val="Calibri"/>
      <b/>
      <color theme="1"/>
      <sz val="11.000000"/>
      <scheme val="minor"/>
    </font>
    <font>
      <name val="Calibri"/>
      <color indexed="2"/>
      <sz val="11.000000"/>
      <scheme val="minor"/>
    </font>
    <font>
      <name val="Arial Cyr"/>
      <sz val="10.000000"/>
    </font>
    <font>
      <name val="Tahoma"/>
      <b/>
      <color indexed="4"/>
      <sz val="11.000000"/>
      <u/>
    </font>
    <font>
      <name val="Tahoma"/>
      <color indexed="64"/>
      <sz val="11.000000"/>
    </font>
    <font>
      <name val="Tahoma"/>
      <color indexed="65"/>
      <sz val="11.000000"/>
    </font>
    <font>
      <name val="Tahoma"/>
      <b/>
      <sz val="10.000000"/>
    </font>
    <font>
      <name val="Tahoma"/>
      <color indexed="56"/>
      <sz val="20.000000"/>
      <u/>
    </font>
    <font>
      <name val="Tahoma"/>
      <sz val="10.000000"/>
    </font>
    <font>
      <name val="Tahoma"/>
      <sz val="9.000000"/>
    </font>
    <font>
      <name val="Tahoma"/>
      <b/>
      <color indexed="64"/>
      <sz val="10.000000"/>
    </font>
    <font>
      <name val="Marlett"/>
      <color indexed="64"/>
      <sz val="11.000000"/>
    </font>
    <font>
      <name val="Tahoma"/>
      <color indexed="64"/>
      <sz val="10.000000"/>
    </font>
    <font>
      <name val="Tahoma"/>
      <sz val="7.000000"/>
    </font>
    <font>
      <name val="Tahoma"/>
      <color indexed="65"/>
      <sz val="9.000000"/>
    </font>
    <font>
      <name val="Tahoma"/>
      <color rgb="FFCC0000"/>
      <sz val="9.000000"/>
    </font>
    <font>
      <name val="Tahoma"/>
      <color theme="0"/>
      <sz val="9.000000"/>
    </font>
    <font>
      <name val="Tahoma"/>
      <color indexed="65"/>
      <sz val="1.000000"/>
    </font>
    <font>
      <name val="Tahoma"/>
      <color theme="0"/>
      <sz val="1.000000"/>
    </font>
    <font>
      <name val="Tahoma"/>
      <sz val="3.000000"/>
    </font>
    <font>
      <name val="Tahoma"/>
      <color indexed="65"/>
      <sz val="3.000000"/>
    </font>
    <font>
      <name val="Tahoma"/>
      <color rgb="FFCC0000"/>
      <sz val="3.000000"/>
    </font>
    <font>
      <name val="Tahoma"/>
      <color theme="0"/>
      <sz val="3.000000"/>
    </font>
    <font>
      <name val="Tahoma"/>
      <sz val="16.000000"/>
    </font>
    <font>
      <name val="Tahoma"/>
      <b/>
      <sz val="9.000000"/>
    </font>
    <font>
      <name val="Tahoma"/>
      <b/>
      <color theme="0"/>
      <sz val="9.000000"/>
    </font>
    <font>
      <name val="Tahoma"/>
      <color indexed="60"/>
      <sz val="3.000000"/>
    </font>
    <font>
      <name val="Tahoma"/>
      <color theme="0" tint="-0.5"/>
      <sz val="7.000000"/>
    </font>
    <font>
      <name val="Tahoma"/>
      <color indexed="62"/>
      <sz val="9.000000"/>
      <u/>
    </font>
    <font>
      <name val="Tahoma"/>
      <color indexed="65"/>
      <sz val="16.000000"/>
    </font>
    <font>
      <name val="Tahoma"/>
      <color indexed="64"/>
      <sz val="3.000000"/>
    </font>
    <font>
      <name val="Tahoma"/>
      <color indexed="18"/>
      <sz val="9.000000"/>
      <u/>
    </font>
    <font>
      <name val="Tahoma"/>
      <color indexed="65"/>
      <sz val="7.000000"/>
    </font>
    <font>
      <name val="Tahoma"/>
      <sz val="12.000000"/>
    </font>
    <font>
      <name val="Tahoma"/>
      <color theme="10"/>
      <sz val="9.000000"/>
      <u/>
    </font>
    <font>
      <name val="Wingdings 2"/>
      <color rgb="FFBCBCBC"/>
      <sz val="11.000000"/>
    </font>
    <font>
      <name val="Tahoma"/>
      <color indexed="2"/>
      <sz val="5.000000"/>
    </font>
    <font>
      <name val="Tahoma"/>
      <sz val="1.000000"/>
    </font>
    <font>
      <name val="Wingdings 2"/>
      <color theme="0"/>
      <sz val="11.000000"/>
    </font>
    <font>
      <name val="Tahoma"/>
      <color theme="0"/>
      <sz val="5.000000"/>
    </font>
    <font>
      <name val="Wingdings 2"/>
      <sz val="11.000000"/>
    </font>
    <font>
      <name val="Tahoma"/>
      <color rgb="FFBCBCBC"/>
      <sz val="9.000000"/>
    </font>
    <font>
      <name val="Tahoma"/>
      <color indexed="2"/>
      <sz val="9.000000"/>
    </font>
    <font>
      <name val="Tahoma"/>
      <color theme="0"/>
      <sz val="12.000000"/>
    </font>
    <font>
      <name val="Tahoma"/>
      <color indexed="18"/>
      <sz val="9.000000"/>
    </font>
    <font>
      <name val="Tahoma"/>
      <sz val="8.000000"/>
    </font>
    <font>
      <name val="Tahoma"/>
      <color theme="0"/>
      <sz val="8.000000"/>
    </font>
    <font>
      <name val="Tahoma"/>
      <color rgb="FFBCBCBC"/>
      <sz val="8.000000"/>
    </font>
    <font>
      <name val="Calibri"/>
      <b/>
      <color indexed="64"/>
      <sz val="11.000000"/>
    </font>
    <font>
      <name val="Calibri"/>
      <b/>
      <color theme="0"/>
      <sz val="11.000000"/>
    </font>
    <font>
      <name val="Calibri"/>
      <b/>
      <color theme="0"/>
      <sz val="1.000000"/>
    </font>
    <font>
      <name val="Calibri"/>
      <b/>
      <sz val="9.000000"/>
    </font>
    <font>
      <name val="Tahoma"/>
      <color theme="1"/>
      <sz val="9.000000"/>
    </font>
    <font>
      <name val="Wingdings 2"/>
      <color rgb="FFBCBCBC"/>
      <sz val="9.000000"/>
    </font>
    <font>
      <name val="Marlett"/>
      <sz val="12.000000"/>
    </font>
    <font>
      <name val="Tahoma"/>
      <sz val="18.000000"/>
    </font>
    <font>
      <name val="Tahoma"/>
      <color indexed="64"/>
      <sz val="1.000000"/>
    </font>
    <font>
      <name val="Wingdings 2"/>
      <sz val="9.000000"/>
    </font>
    <font>
      <name val="Wingdings 2"/>
      <color indexed="65"/>
      <sz val="9.000000"/>
    </font>
    <font>
      <name val="Tahoma"/>
      <b/>
      <color rgb="FF0070C0"/>
      <sz val="9.000000"/>
    </font>
    <font>
      <name val="Tahoma"/>
      <b/>
      <sz val="3.000000"/>
    </font>
    <font>
      <name val="Tahoma"/>
      <b/>
      <color indexed="18"/>
      <sz val="9.000000"/>
    </font>
    <font>
      <name val="Tahoma"/>
      <color indexed="64"/>
      <sz val="18.000000"/>
    </font>
    <font>
      <name val="Tahoma"/>
      <color indexed="64"/>
      <sz val="12.000000"/>
    </font>
    <font>
      <name val="Tahoma"/>
      <color indexed="30"/>
      <sz val="9.000000"/>
    </font>
    <font>
      <name val="Tahoma"/>
      <b/>
      <color theme="1"/>
      <sz val="10.000000"/>
    </font>
    <font>
      <name val="Tahoma"/>
      <color theme="1"/>
      <sz val="10.000000"/>
    </font>
    <font>
      <name val="Tahoma"/>
      <color rgb="FFBCBCBC"/>
      <sz val="3.000000"/>
    </font>
    <font>
      <name val="Tahoma"/>
      <color rgb="FFBCBCBC"/>
      <sz val="1.000000"/>
    </font>
    <font>
      <name val="Webdings2"/>
      <sz val="11.000000"/>
    </font>
    <font>
      <name val="Webdings2"/>
      <color theme="0"/>
      <sz val="1.000000"/>
    </font>
    <font>
      <name val="Tahoma"/>
      <b/>
      <color theme="0"/>
      <sz val="1.000000"/>
    </font>
    <font>
      <name val="Webdings2"/>
      <color theme="0"/>
      <sz val="11.000000"/>
    </font>
    <font>
      <name val="Tahoma"/>
      <color indexed="64"/>
      <sz val="15.000000"/>
    </font>
    <font>
      <name val="Webdings2"/>
      <sz val="1.000000"/>
    </font>
    <font>
      <name val="Wingdings 2"/>
      <color theme="0"/>
      <sz val="1.000000"/>
    </font>
    <font>
      <name val="Webdings2"/>
      <color theme="0"/>
      <sz val="9.000000"/>
    </font>
    <font>
      <name val="Tahoma"/>
      <color theme="0"/>
      <sz val="15.000000"/>
    </font>
    <font>
      <name val="Tahoma"/>
      <color indexed="2"/>
      <sz val="1.000000"/>
    </font>
    <font>
      <name val="Tahoma"/>
      <b/>
      <sz val="1.000000"/>
    </font>
    <font>
      <name val="Tahoma"/>
      <b/>
      <color indexed="18"/>
      <sz val="1.000000"/>
    </font>
    <font>
      <name val="Tahoma"/>
      <sz val="15.000000"/>
    </font>
    <font>
      <name val="Tahoma"/>
      <color theme="0"/>
      <sz val="11.000000"/>
    </font>
    <font>
      <name val="Tahoma"/>
      <color theme="0"/>
      <sz val="19.000000"/>
    </font>
    <font>
      <name val="Tahoma"/>
      <color indexed="65"/>
      <sz val="8.000000"/>
    </font>
    <font>
      <name val="Tahoma"/>
      <b/>
      <color indexed="18"/>
      <sz val="9.000000"/>
      <u/>
    </font>
    <font>
      <name val="Tahoma"/>
      <color indexed="62"/>
      <sz val="1.000000"/>
      <u/>
    </font>
    <font>
      <name val="Calibri"/>
      <color rgb="FFBCBCBC"/>
      <sz val="14.000000"/>
    </font>
    <font>
      <name val="Tahoma"/>
      <b/>
      <color indexed="65"/>
      <sz val="9.000000"/>
    </font>
    <font>
      <name val="Tahoma"/>
      <color theme="0"/>
      <sz val="18.000000"/>
    </font>
    <font>
      <name val="Tahoma"/>
      <color indexed="62"/>
      <sz val="9.000000"/>
    </font>
    <font>
      <name val="Tahoma"/>
      <b/>
      <color indexed="64"/>
      <sz val="9.000000"/>
    </font>
    <font>
      <name val="Tahoma"/>
      <color indexed="18"/>
      <sz val="8.000000"/>
    </font>
    <font>
      <name val="Wingdings 2"/>
      <b/>
      <color indexed="22"/>
      <sz val="8.000000"/>
    </font>
    <font>
      <name val="Arial"/>
      <color indexed="64"/>
      <sz val="10.000000"/>
    </font>
    <font>
      <name val="Tahoma"/>
      <color indexed="64"/>
      <sz val="7.000000"/>
    </font>
    <font>
      <name val="Tahoma"/>
      <color indexed="18"/>
      <sz val="1.000000"/>
    </font>
    <font>
      <name val="Tahoma"/>
      <b/>
      <sz val="9.000000"/>
      <u/>
    </font>
  </fonts>
  <fills count="56">
    <fill>
      <patternFill patternType="none"/>
    </fill>
    <fill>
      <patternFill patternType="gray125"/>
    </fill>
    <fill>
      <patternFill patternType="solid">
        <fgColor theme="4" tint="0.80000000000000004"/>
        <bgColor theme="4" tint="0.80000000000000004"/>
      </patternFill>
    </fill>
    <fill>
      <patternFill patternType="solid">
        <fgColor theme="5" tint="0.80000000000000004"/>
        <bgColor theme="5" tint="0.80000000000000004"/>
      </patternFill>
    </fill>
    <fill>
      <patternFill patternType="solid">
        <fgColor theme="6" tint="0.80000000000000004"/>
        <bgColor theme="6" tint="0.80000000000000004"/>
      </patternFill>
    </fill>
    <fill>
      <patternFill patternType="solid">
        <fgColor theme="7" tint="0.80000000000000004"/>
        <bgColor theme="7" tint="0.80000000000000004"/>
      </patternFill>
    </fill>
    <fill>
      <patternFill patternType="solid">
        <fgColor theme="8" tint="0.80000000000000004"/>
        <bgColor theme="8" tint="0.80000000000000004"/>
      </patternFill>
    </fill>
    <fill>
      <patternFill patternType="solid">
        <fgColor theme="9" tint="0.80000000000000004"/>
        <bgColor theme="9" tint="0.80000000000000004"/>
      </patternFill>
    </fill>
    <fill>
      <patternFill patternType="solid">
        <fgColor theme="4" tint="0.59999999999999998"/>
        <bgColor theme="4" tint="0.59999999999999998"/>
      </patternFill>
    </fill>
    <fill>
      <patternFill patternType="solid">
        <fgColor theme="5" tint="0.59999999999999998"/>
        <bgColor theme="5" tint="0.59999999999999998"/>
      </patternFill>
    </fill>
    <fill>
      <patternFill patternType="solid">
        <fgColor theme="6" tint="0.59999999999999998"/>
        <bgColor theme="6" tint="0.59999999999999998"/>
      </patternFill>
    </fill>
    <fill>
      <patternFill patternType="solid">
        <fgColor theme="7" tint="0.59999999999999998"/>
        <bgColor theme="7" tint="0.59999999999999998"/>
      </patternFill>
    </fill>
    <fill>
      <patternFill patternType="solid">
        <fgColor theme="8" tint="0.59999999999999998"/>
        <bgColor theme="8" tint="0.59999999999999998"/>
      </patternFill>
    </fill>
    <fill>
      <patternFill patternType="solid">
        <fgColor theme="9" tint="0.59999999999999998"/>
        <bgColor theme="9" tint="0.59999999999999998"/>
      </patternFill>
    </fill>
    <fill>
      <patternFill patternType="solid">
        <fgColor theme="4" tint="0.40000000000000002"/>
        <bgColor theme="4" tint="0.40000000000000002"/>
      </patternFill>
    </fill>
    <fill>
      <patternFill patternType="solid">
        <fgColor theme="5" tint="0.40000000000000002"/>
        <bgColor theme="5" tint="0.40000000000000002"/>
      </patternFill>
    </fill>
    <fill>
      <patternFill patternType="solid">
        <fgColor theme="6" tint="0.40000000000000002"/>
        <bgColor theme="6" tint="0.40000000000000002"/>
      </patternFill>
    </fill>
    <fill>
      <patternFill patternType="solid">
        <fgColor theme="7" tint="0.40000000000000002"/>
        <bgColor theme="7" tint="0.40000000000000002"/>
      </patternFill>
    </fill>
    <fill>
      <patternFill patternType="solid">
        <fgColor theme="8" tint="0.40000000000000002"/>
        <bgColor theme="8" tint="0.40000000000000002"/>
      </patternFill>
    </fill>
    <fill>
      <patternFill patternType="solid">
        <fgColor theme="9" tint="0.40000000000000002"/>
        <bgColor theme="9" tint="0.40000000000000002"/>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indexed="47"/>
        <bgColor indexed="47"/>
      </patternFill>
    </fill>
    <fill>
      <patternFill patternType="solid">
        <fgColor rgb="FFFFEB9C"/>
        <bgColor rgb="FFFFEB9C"/>
      </patternFill>
    </fill>
    <fill>
      <patternFill patternType="solid">
        <fgColor indexed="26"/>
        <bgColor indexed="26"/>
      </patternFill>
    </fill>
    <fill>
      <patternFill patternType="solid">
        <fgColor rgb="FFBCBCBC"/>
        <bgColor rgb="FFBCBCBC"/>
      </patternFill>
    </fill>
    <fill>
      <patternFill patternType="solid">
        <fgColor theme="0" tint="-0.14999999999999999"/>
        <bgColor theme="0" tint="-0.14999999999999999"/>
      </patternFill>
    </fill>
    <fill>
      <patternFill patternType="solid">
        <fgColor rgb="FFFFFFC0"/>
        <bgColor rgb="FFFFFFC0"/>
      </patternFill>
    </fill>
    <fill>
      <patternFill patternType="solid">
        <fgColor rgb="FFD3DBDB"/>
        <bgColor rgb="FFD3DBDB"/>
      </patternFill>
    </fill>
    <fill>
      <patternFill patternType="solid">
        <fgColor rgb="FFD7EAD3"/>
        <bgColor rgb="FFD7EAD3"/>
      </patternFill>
    </fill>
    <fill>
      <patternFill patternType="solid">
        <fgColor rgb="FFE3FAFD"/>
        <bgColor rgb="FFE3FAFD"/>
      </patternFill>
    </fill>
    <fill>
      <patternFill patternType="solid">
        <fgColor indexed="65"/>
        <bgColor indexed="65"/>
      </patternFill>
    </fill>
    <fill>
      <patternFill patternType="solid">
        <fgColor rgb="FFB7E4FF"/>
        <bgColor rgb="FFB7E4FF"/>
      </patternFill>
    </fill>
    <fill>
      <patternFill patternType="lightDown">
        <fgColor indexed="22"/>
        <bgColor indexed="22"/>
      </patternFill>
    </fill>
    <fill>
      <patternFill patternType="solid">
        <fgColor theme="0"/>
        <bgColor theme="0"/>
      </patternFill>
    </fill>
    <fill>
      <patternFill patternType="solid">
        <fgColor rgb="FFEAEBEE"/>
        <bgColor rgb="FFEAEBEE"/>
      </patternFill>
    </fill>
    <fill>
      <patternFill patternType="solid">
        <fgColor indexed="52"/>
        <bgColor indexed="52"/>
      </patternFill>
    </fill>
    <fill>
      <patternFill patternType="solid">
        <fgColor indexed="30"/>
        <bgColor indexed="30"/>
      </patternFill>
    </fill>
    <fill>
      <patternFill patternType="solid">
        <fgColor indexed="19"/>
        <bgColor indexed="19"/>
      </patternFill>
    </fill>
    <fill>
      <patternFill patternType="solid">
        <fgColor indexed="46"/>
        <bgColor indexed="46"/>
      </patternFill>
    </fill>
    <fill>
      <patternFill patternType="solid">
        <fgColor indexed="22"/>
        <bgColor indexed="22"/>
      </patternFill>
    </fill>
    <fill>
      <patternFill patternType="solid">
        <fgColor rgb="FFFFB7B7"/>
        <bgColor rgb="FFFFB7B7"/>
      </patternFill>
    </fill>
    <fill>
      <patternFill patternType="lightDown">
        <fgColor rgb="FFB7E4FF"/>
        <bgColor indexed="65"/>
      </patternFill>
    </fill>
    <fill>
      <patternFill patternType="solid">
        <fgColor indexed="5"/>
        <bgColor indexed="5"/>
      </patternFill>
    </fill>
    <fill>
      <patternFill patternType="solid">
        <fgColor indexed="31"/>
        <bgColor indexed="31"/>
      </patternFill>
    </fill>
    <fill>
      <patternFill patternType="solid">
        <fgColor rgb="FF8DB4E2"/>
        <bgColor rgb="FF8DB4E2"/>
      </patternFill>
    </fill>
    <fill>
      <patternFill patternType="solid">
        <fgColor theme="2" tint="-0.10000000000000001"/>
        <bgColor theme="2" tint="-0.10000000000000001"/>
      </patternFill>
    </fill>
    <fill>
      <patternFill patternType="solid">
        <fgColor theme="9" tint="-0.25"/>
        <bgColor theme="9" tint="-0.25"/>
      </patternFill>
    </fill>
  </fills>
  <borders count="7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5"/>
      </bottom>
      <diagonal/>
    </border>
    <border>
      <left/>
      <right/>
      <top/>
      <bottom style="medium">
        <color theme="4" tint="0.4000000000000000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BCBCBC"/>
      </left>
      <right/>
      <top/>
      <bottom/>
      <diagonal/>
    </border>
    <border>
      <left/>
      <right style="thin">
        <color rgb="FFBCBCBC"/>
      </right>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BCBCBC"/>
      </left>
      <right/>
      <top/>
      <bottom style="thin">
        <color rgb="FFBCBCBC"/>
      </bottom>
      <diagonal/>
    </border>
    <border>
      <left/>
      <right/>
      <top/>
      <bottom style="thin">
        <color rgb="FFBCBCBC"/>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hair">
        <color indexed="22"/>
      </left>
      <right/>
      <top style="hair">
        <color indexed="22"/>
      </top>
      <bottom style="hair">
        <color indexed="22"/>
      </bottom>
      <diagonal/>
    </border>
    <border>
      <left style="thin">
        <color indexed="22"/>
      </left>
      <right style="thin">
        <color indexed="22"/>
      </right>
      <top style="thin">
        <color indexed="22"/>
      </top>
      <bottom style="thin">
        <color indexed="22"/>
      </bottom>
      <diagonal/>
    </border>
    <border>
      <left style="thin">
        <color rgb="FFBCBCBC"/>
      </left>
      <right style="thin">
        <color rgb="FFBCBCBC"/>
      </right>
      <top style="thin">
        <color rgb="FFBCBCBC"/>
      </top>
      <bottom style="thin">
        <color rgb="FFBCBCBC"/>
      </bottom>
      <diagonal/>
    </border>
    <border>
      <left/>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style="thin">
        <color indexed="22"/>
      </right>
      <top/>
      <bottom style="thin">
        <color indexed="22"/>
      </bottom>
      <diagonal/>
    </border>
    <border>
      <left/>
      <right/>
      <top style="thin">
        <color rgb="FFD3DBDB"/>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style="thin">
        <color rgb="FFBCBCBC"/>
      </top>
      <bottom style="thin">
        <color rgb="FFBCBCBC"/>
      </bottom>
      <diagonal/>
    </border>
    <border>
      <left/>
      <right style="thin">
        <color indexed="22"/>
      </right>
      <top style="thin">
        <color rgb="FFBCBCBC"/>
      </top>
      <bottom style="thin">
        <color rgb="FFBCBCBC"/>
      </bottom>
      <diagonal/>
    </border>
    <border>
      <left/>
      <right/>
      <top style="thin">
        <color rgb="FFBCBCBC"/>
      </top>
      <bottom style="thin">
        <color rgb="FFBCBCBC"/>
      </bottom>
      <diagonal/>
    </border>
    <border>
      <left style="thin">
        <color indexed="22"/>
      </left>
      <right style="thin">
        <color indexed="22"/>
      </right>
      <top style="thin">
        <color rgb="FFBCBCBC"/>
      </top>
      <bottom style="thin">
        <color rgb="FFBCBCBC"/>
      </bottom>
      <diagonal/>
    </border>
    <border>
      <left style="thin">
        <color indexed="22"/>
      </left>
      <right style="thin">
        <color indexed="22"/>
      </right>
      <top/>
      <bottom/>
      <diagonal/>
    </border>
    <border>
      <left style="thin">
        <color indexed="22"/>
      </left>
      <right/>
      <top style="thin">
        <color rgb="FFBCBCBC"/>
      </top>
      <bottom style="thin">
        <color indexed="22"/>
      </bottom>
      <diagonal/>
    </border>
    <border>
      <left/>
      <right/>
      <top style="thin">
        <color rgb="FFBCBCBC"/>
      </top>
      <bottom style="thin">
        <color indexed="22"/>
      </bottom>
      <diagonal/>
    </border>
    <border>
      <left/>
      <right/>
      <top/>
      <bottom style="thin">
        <color indexed="22"/>
      </bottom>
      <diagonal/>
    </border>
    <border>
      <left style="thin">
        <color theme="0" tint="-0.25"/>
      </left>
      <right style="thin">
        <color indexed="22"/>
      </right>
      <top style="thin">
        <color indexed="22"/>
      </top>
      <bottom style="thin">
        <color indexed="22"/>
      </bottom>
      <diagonal/>
    </border>
    <border>
      <left style="thin">
        <color theme="0" tint="-0.25"/>
      </left>
      <right/>
      <top style="thin">
        <color indexed="22"/>
      </top>
      <bottom style="thin">
        <color indexed="22"/>
      </bottom>
      <diagonal/>
    </border>
    <border>
      <left style="thin">
        <color theme="0" tint="-0.25"/>
      </left>
      <right/>
      <top style="thin">
        <color indexed="22"/>
      </top>
      <bottom/>
      <diagonal/>
    </border>
    <border>
      <left style="thin">
        <color theme="0" tint="-0.25"/>
      </left>
      <right style="thin">
        <color indexed="22"/>
      </right>
      <top style="thin">
        <color indexed="22"/>
      </top>
      <bottom/>
      <diagonal/>
    </border>
    <border>
      <left style="thin">
        <color theme="0" tint="-0.25"/>
      </left>
      <right style="thin">
        <color theme="0" tint="-0.25"/>
      </right>
      <top/>
      <bottom style="thin">
        <color theme="0" tint="-0.25"/>
      </bottom>
      <diagonal/>
    </border>
    <border>
      <left style="thin">
        <color theme="0" tint="-0.25"/>
      </left>
      <right style="thin">
        <color theme="0" tint="-0.25"/>
      </right>
      <top/>
      <bottom/>
      <diagonal/>
    </border>
    <border>
      <left style="thin">
        <color theme="0" tint="-0.25"/>
      </left>
      <right style="thin">
        <color theme="0" tint="-0.25"/>
      </right>
      <top style="thin">
        <color theme="0" tint="-0.25"/>
      </top>
      <bottom style="thin">
        <color theme="0" tint="-0.25"/>
      </bottom>
      <diagonal/>
    </border>
    <border>
      <left style="thin">
        <color theme="0" tint="-0.25"/>
      </left>
      <right/>
      <top style="thin">
        <color theme="0" tint="-0.25"/>
      </top>
      <bottom style="thin">
        <color theme="0" tint="-0.25"/>
      </bottom>
      <diagonal/>
    </border>
    <border>
      <left style="thin">
        <color theme="0" tint="-0.25"/>
      </left>
      <right style="thin">
        <color theme="0" tint="-0.25"/>
      </right>
      <top style="thin">
        <color theme="0" tint="-0.25"/>
      </top>
      <bottom/>
      <diagonal/>
    </border>
    <border>
      <left style="thin">
        <color theme="0" tint="-0.25"/>
      </left>
      <right/>
      <top/>
      <bottom style="thin">
        <color theme="0" tint="-0.25"/>
      </bottom>
      <diagonal/>
    </border>
    <border>
      <left style="thin">
        <color rgb="FFBCBCBC"/>
      </left>
      <right/>
      <top style="thin">
        <color rgb="FFBCBCBC"/>
      </top>
      <bottom style="thin">
        <color indexed="22"/>
      </bottom>
      <diagonal/>
    </border>
    <border>
      <left style="thin">
        <color indexed="22"/>
      </left>
      <right style="thin">
        <color indexed="22"/>
      </right>
      <top style="thin">
        <color indexed="22"/>
      </top>
      <bottom style="medium">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22"/>
      </right>
      <top style="thin">
        <color indexed="22"/>
      </top>
      <bottom style="thin">
        <color rgb="FFBCBCBC"/>
      </bottom>
      <diagonal/>
    </border>
    <border>
      <left style="thin">
        <color rgb="FFBCBCBC"/>
      </left>
      <right/>
      <top style="medium">
        <color rgb="FFBCBCBC"/>
      </top>
      <bottom/>
      <diagonal/>
    </border>
    <border>
      <left/>
      <right/>
      <top style="medium">
        <color rgb="FFBCBCBC"/>
      </top>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style="thin">
        <color theme="0" tint="-0.25"/>
      </right>
      <top style="thin">
        <color indexed="22"/>
      </top>
      <bottom style="thin">
        <color indexed="22"/>
      </bottom>
      <diagonal/>
    </border>
    <border>
      <left/>
      <right/>
      <top/>
      <bottom style="medium">
        <color indexed="22"/>
      </bottom>
      <diagonal/>
    </border>
    <border>
      <left/>
      <right style="thin">
        <color theme="0" tint="-0.25"/>
      </right>
      <top style="thin">
        <color indexed="22"/>
      </top>
      <bottom style="medium">
        <color indexed="22"/>
      </bottom>
      <diagonal/>
    </border>
    <border>
      <left style="thin">
        <color rgb="FFBCBCBC"/>
      </left>
      <right/>
      <top style="medium">
        <color rgb="FFBCBCBC"/>
      </top>
      <bottom style="thin">
        <color indexed="22"/>
      </bottom>
      <diagonal/>
    </border>
    <border>
      <left/>
      <right/>
      <top style="medium">
        <color indexed="22"/>
      </top>
      <bottom style="thin">
        <color indexed="22"/>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rgb="FFD3DBDB"/>
      </left>
      <right style="thin">
        <color rgb="FFD3DBDB"/>
      </right>
      <top style="thin">
        <color rgb="FFD3DBDB"/>
      </top>
      <bottom style="thin">
        <color rgb="FFD3DBDB"/>
      </bottom>
      <diagonal/>
    </border>
    <border>
      <left style="thin">
        <color indexed="64"/>
      </left>
      <right style="thin">
        <color indexed="64"/>
      </right>
      <top style="thin">
        <color indexed="64"/>
      </top>
      <bottom style="thin">
        <color indexed="64"/>
      </bottom>
      <diagonal/>
    </border>
    <border>
      <left style="thin">
        <color theme="0" tint="-0.34999999999999998"/>
      </left>
      <right style="thin">
        <color theme="0" tint="-0.34999999999999998"/>
      </right>
      <top style="thin">
        <color theme="0" tint="-0.34999999999999998"/>
      </top>
      <bottom style="thin">
        <color theme="0" tint="-0.34999999999999998"/>
      </bottom>
      <diagonal/>
    </border>
    <border>
      <left/>
      <right/>
      <top style="dotted">
        <color indexed="64"/>
      </top>
      <bottom style="dotted">
        <color indexed="64"/>
      </bottom>
      <diagonal/>
    </border>
  </borders>
  <cellStyleXfs count="47">
    <xf fontId="0" fillId="0" borderId="0" numFmtId="49" applyNumberFormat="1" applyFont="1" applyFill="0" applyBorder="0">
      <alignment vertical="top"/>
    </xf>
    <xf fontId="1" fillId="2" borderId="0" numFmtId="0" applyNumberFormat="1" applyFont="1" applyFill="1" applyBorder="0">
      <alignment vertical="top"/>
    </xf>
    <xf fontId="1" fillId="3" borderId="0" numFmtId="0" applyNumberFormat="1" applyFont="1" applyFill="1" applyBorder="0">
      <alignment vertical="top"/>
    </xf>
    <xf fontId="1" fillId="4" borderId="0" numFmtId="0" applyNumberFormat="1" applyFont="1" applyFill="1" applyBorder="0">
      <alignment vertical="top"/>
    </xf>
    <xf fontId="1" fillId="5" borderId="0" numFmtId="0" applyNumberFormat="1" applyFont="1" applyFill="1" applyBorder="0">
      <alignment vertical="top"/>
    </xf>
    <xf fontId="1" fillId="6" borderId="0" numFmtId="0" applyNumberFormat="1" applyFont="1" applyFill="1" applyBorder="0">
      <alignment vertical="top"/>
    </xf>
    <xf fontId="1" fillId="7" borderId="0" numFmtId="0" applyNumberFormat="1" applyFont="1" applyFill="1" applyBorder="0">
      <alignment vertical="top"/>
    </xf>
    <xf fontId="1" fillId="8" borderId="0" numFmtId="0" applyNumberFormat="1" applyFont="1" applyFill="1" applyBorder="0">
      <alignment vertical="top"/>
    </xf>
    <xf fontId="1" fillId="9" borderId="0" numFmtId="0" applyNumberFormat="1" applyFont="1" applyFill="1" applyBorder="0">
      <alignment vertical="top"/>
    </xf>
    <xf fontId="1" fillId="10" borderId="0" numFmtId="0" applyNumberFormat="1" applyFont="1" applyFill="1" applyBorder="0">
      <alignment vertical="top"/>
    </xf>
    <xf fontId="1" fillId="11" borderId="0" numFmtId="0" applyNumberFormat="1" applyFont="1" applyFill="1" applyBorder="0">
      <alignment vertical="top"/>
    </xf>
    <xf fontId="1" fillId="12" borderId="0" numFmtId="0" applyNumberFormat="1" applyFont="1" applyFill="1" applyBorder="0">
      <alignment vertical="top"/>
    </xf>
    <xf fontId="1" fillId="13" borderId="0" numFmtId="0" applyNumberFormat="1" applyFont="1" applyFill="1" applyBorder="0">
      <alignment vertical="top"/>
    </xf>
    <xf fontId="2" fillId="14" borderId="0" numFmtId="0" applyNumberFormat="1" applyFont="1" applyFill="1" applyBorder="0">
      <alignment vertical="top"/>
    </xf>
    <xf fontId="2" fillId="15" borderId="0" numFmtId="0" applyNumberFormat="1" applyFont="1" applyFill="1" applyBorder="0">
      <alignment vertical="top"/>
    </xf>
    <xf fontId="2" fillId="16" borderId="0" numFmtId="0" applyNumberFormat="1" applyFont="1" applyFill="1" applyBorder="0">
      <alignment vertical="top"/>
    </xf>
    <xf fontId="2" fillId="17" borderId="0" numFmtId="0" applyNumberFormat="1" applyFont="1" applyFill="1" applyBorder="0">
      <alignment vertical="top"/>
    </xf>
    <xf fontId="2" fillId="18" borderId="0" numFmtId="0" applyNumberFormat="1" applyFont="1" applyFill="1" applyBorder="0">
      <alignment vertical="top"/>
    </xf>
    <xf fontId="2" fillId="19" borderId="0" numFmtId="0" applyNumberFormat="1" applyFont="1" applyFill="1" applyBorder="0">
      <alignment vertical="top"/>
    </xf>
    <xf fontId="2" fillId="20" borderId="0" numFmtId="0" applyNumberFormat="1" applyFont="1" applyFill="1" applyBorder="0">
      <alignment vertical="top"/>
    </xf>
    <xf fontId="2" fillId="21" borderId="0" numFmtId="0" applyNumberFormat="1" applyFont="1" applyFill="1" applyBorder="0">
      <alignment vertical="top"/>
    </xf>
    <xf fontId="2" fillId="22" borderId="0" numFmtId="0" applyNumberFormat="1" applyFont="1" applyFill="1" applyBorder="0">
      <alignment vertical="top"/>
    </xf>
    <xf fontId="2" fillId="23" borderId="0" numFmtId="0" applyNumberFormat="1" applyFont="1" applyFill="1" applyBorder="0">
      <alignment vertical="top"/>
    </xf>
    <xf fontId="2" fillId="24" borderId="0" numFmtId="0" applyNumberFormat="1" applyFont="1" applyFill="1" applyBorder="0">
      <alignment vertical="top"/>
    </xf>
    <xf fontId="2" fillId="25" borderId="0" numFmtId="0" applyNumberFormat="1" applyFont="1" applyFill="1" applyBorder="0">
      <alignment vertical="top"/>
    </xf>
    <xf fontId="3" fillId="26" borderId="0" numFmtId="0" applyNumberFormat="1" applyFont="1" applyFill="1" applyBorder="0">
      <alignment vertical="top"/>
    </xf>
    <xf fontId="4" fillId="27" borderId="1" numFmtId="0" applyNumberFormat="1" applyFont="1" applyFill="1" applyBorder="1">
      <alignment vertical="top"/>
    </xf>
    <xf fontId="5" fillId="28" borderId="2" numFmtId="0" applyNumberFormat="1" applyFont="1" applyFill="1" applyBorder="1">
      <alignment vertical="top"/>
    </xf>
    <xf fontId="6" fillId="0" borderId="0" numFmtId="160" applyNumberFormat="1" applyFont="0" applyFill="0" applyBorder="0">
      <alignment vertical="top"/>
    </xf>
    <xf fontId="6" fillId="0" borderId="0" numFmtId="161" applyNumberFormat="1" applyFont="0" applyFill="0" applyBorder="0">
      <alignment vertical="top"/>
    </xf>
    <xf fontId="6" fillId="0" borderId="0" numFmtId="162" applyNumberFormat="1" applyFont="0" applyFill="0" applyBorder="0">
      <alignment vertical="top"/>
    </xf>
    <xf fontId="6" fillId="0" borderId="0" numFmtId="163" applyNumberFormat="1" applyFont="0" applyFill="0" applyBorder="0">
      <alignment vertical="top"/>
    </xf>
    <xf fontId="7" fillId="0" borderId="0" numFmtId="0" applyNumberFormat="1" applyFont="1" applyFill="0" applyBorder="0">
      <alignment vertical="top"/>
    </xf>
    <xf fontId="8" fillId="29" borderId="0" numFmtId="0" applyNumberFormat="1" applyFont="1" applyFill="1" applyBorder="0">
      <alignment vertical="top"/>
    </xf>
    <xf fontId="9" fillId="0" borderId="3" numFmtId="0" applyNumberFormat="1" applyFont="1" applyFill="0" applyBorder="1">
      <alignment vertical="top"/>
    </xf>
    <xf fontId="10" fillId="0" borderId="4" numFmtId="0" applyNumberFormat="1" applyFont="1" applyFill="0" applyBorder="1">
      <alignment vertical="top"/>
    </xf>
    <xf fontId="11" fillId="0" borderId="5" numFmtId="0" applyNumberFormat="1" applyFont="1" applyFill="0" applyBorder="1">
      <alignment vertical="top"/>
    </xf>
    <xf fontId="11" fillId="0" borderId="0" numFmtId="0" applyNumberFormat="1" applyFont="1" applyFill="0" applyBorder="0">
      <alignment vertical="top"/>
    </xf>
    <xf fontId="12" fillId="30" borderId="1" numFmtId="0" applyNumberFormat="1" applyFont="1" applyFill="1" applyBorder="1">
      <alignment vertical="top"/>
    </xf>
    <xf fontId="13" fillId="0" borderId="6" numFmtId="0" applyNumberFormat="1" applyFont="1" applyFill="0" applyBorder="1">
      <alignment vertical="top"/>
    </xf>
    <xf fontId="14" fillId="31" borderId="0" numFmtId="0" applyNumberFormat="1" applyFont="1" applyFill="1" applyBorder="0">
      <alignment vertical="top"/>
    </xf>
    <xf fontId="6" fillId="32" borderId="7" numFmtId="0" applyNumberFormat="1" applyFont="0" applyFill="1" applyBorder="1">
      <alignment vertical="top"/>
    </xf>
    <xf fontId="15" fillId="27" borderId="8" numFmtId="0" applyNumberFormat="1" applyFont="1" applyFill="1" applyBorder="1">
      <alignment vertical="top"/>
    </xf>
    <xf fontId="6" fillId="0" borderId="0" numFmtId="9" applyNumberFormat="1" applyFont="0" applyFill="0" applyBorder="0">
      <alignment vertical="top"/>
    </xf>
    <xf fontId="16" fillId="0" borderId="0" numFmtId="0" applyNumberFormat="1" applyFont="1" applyFill="0" applyBorder="0">
      <alignment vertical="top"/>
    </xf>
    <xf fontId="17" fillId="0" borderId="9" numFmtId="0" applyNumberFormat="1" applyFont="1" applyFill="0" applyBorder="1">
      <alignment vertical="top"/>
    </xf>
    <xf fontId="18" fillId="0" borderId="0" numFmtId="0" applyNumberFormat="1" applyFont="1" applyFill="0" applyBorder="0">
      <alignment vertical="top"/>
    </xf>
  </cellStyleXfs>
  <cellXfs count="1371">
    <xf fontId="0" fillId="0" borderId="0" numFmtId="49" xfId="0" applyNumberFormat="1" applyAlignment="1">
      <alignment vertical="top"/>
    </xf>
    <xf fontId="19" fillId="0" borderId="0" numFmtId="0" xfId="0" applyFont="1"/>
    <xf fontId="20" fillId="0" borderId="0" numFmtId="0" xfId="0" applyFont="1" applyAlignment="1">
      <alignment wrapText="1"/>
    </xf>
    <xf fontId="21" fillId="0" borderId="0" numFmtId="49" xfId="0" applyNumberFormat="1" applyFont="1" applyAlignment="1">
      <alignment wrapText="1"/>
    </xf>
    <xf fontId="21" fillId="0" borderId="0" numFmtId="49" xfId="0" applyNumberFormat="1" applyFont="1" applyAlignment="1">
      <alignment vertical="center" wrapText="1"/>
    </xf>
    <xf fontId="22" fillId="0" borderId="0" numFmtId="49" xfId="0" applyNumberFormat="1" applyFont="1" applyAlignment="1">
      <alignment wrapText="1"/>
    </xf>
    <xf fontId="23" fillId="0" borderId="0" numFmtId="0" xfId="0" applyFont="1" applyAlignment="1">
      <alignment vertical="center" wrapText="1"/>
    </xf>
    <xf fontId="23" fillId="0" borderId="0" numFmtId="0" xfId="0" applyFont="1" applyAlignment="1">
      <alignment horizontal="left" vertical="center" wrapText="1"/>
    </xf>
    <xf fontId="24" fillId="0" borderId="0" numFmtId="49" xfId="0" applyNumberFormat="1" applyFont="1" applyAlignment="1">
      <alignment wrapText="1"/>
    </xf>
    <xf fontId="23" fillId="0" borderId="0" numFmtId="0" xfId="0" applyFont="1" applyAlignment="1">
      <alignment vertical="center"/>
    </xf>
    <xf fontId="25" fillId="0" borderId="0" numFmtId="0" xfId="0" applyFont="1" applyAlignment="1">
      <alignment horizontal="left" vertical="top" wrapText="1"/>
    </xf>
    <xf fontId="26" fillId="0" borderId="0" numFmtId="49" xfId="0" applyNumberFormat="1" applyFont="1" applyAlignment="1">
      <alignment vertical="top" wrapText="1"/>
    </xf>
    <xf fontId="25" fillId="33" borderId="10" numFmtId="0" xfId="0" applyFont="1" applyFill="1" applyBorder="1" applyAlignment="1">
      <alignment horizontal="center" vertical="center" wrapText="1"/>
    </xf>
    <xf fontId="25" fillId="33" borderId="11" numFmtId="0" xfId="0" applyFont="1" applyFill="1" applyBorder="1" applyAlignment="1">
      <alignment horizontal="center" vertical="center" wrapText="1"/>
    </xf>
    <xf fontId="25" fillId="33" borderId="12" numFmtId="0" xfId="0" applyFont="1" applyFill="1" applyBorder="1" applyAlignment="1">
      <alignment horizontal="center" vertical="center" wrapText="1"/>
    </xf>
    <xf fontId="21" fillId="0" borderId="0" numFmtId="0" xfId="0" applyFont="1" applyAlignment="1">
      <alignment wrapText="1"/>
    </xf>
    <xf fontId="25" fillId="34" borderId="13" numFmtId="0" xfId="0" applyFont="1" applyFill="1" applyBorder="1" applyAlignment="1">
      <alignment horizontal="right" indent="1" vertical="center" wrapText="1"/>
    </xf>
    <xf fontId="25" fillId="34" borderId="14" numFmtId="0" xfId="0" applyFont="1" applyFill="1" applyBorder="1" applyAlignment="1">
      <alignment horizontal="right" indent="1" vertical="center" wrapText="1"/>
    </xf>
    <xf fontId="27" fillId="0" borderId="0" numFmtId="0" xfId="0" applyFont="1" applyAlignment="1">
      <alignment horizontal="left" vertical="center" wrapText="1"/>
    </xf>
    <xf fontId="28" fillId="0" borderId="0" numFmtId="0" xfId="0" applyFont="1" applyAlignment="1">
      <alignment vertical="center" wrapText="1"/>
    </xf>
    <xf fontId="21" fillId="0" borderId="13" numFmtId="0" xfId="0" applyFont="1" applyBorder="1" applyAlignment="1">
      <alignment wrapText="1"/>
    </xf>
    <xf fontId="21" fillId="0" borderId="0" numFmtId="0" xfId="0" applyFont="1"/>
    <xf fontId="27" fillId="0" borderId="0" numFmtId="0" xfId="0" applyFont="1"/>
    <xf fontId="29" fillId="0" borderId="0" numFmtId="0" xfId="0" applyFont="1" applyAlignment="1">
      <alignment wrapText="1"/>
    </xf>
    <xf fontId="0" fillId="35" borderId="15" numFmtId="0" xfId="0" applyFill="1" applyBorder="1" applyAlignment="1">
      <alignment horizontal="center" vertical="center" wrapText="1"/>
    </xf>
    <xf fontId="29" fillId="0" borderId="13" numFmtId="0" xfId="0" applyFont="1" applyBorder="1" applyAlignment="1">
      <alignment vertical="center" wrapText="1"/>
    </xf>
    <xf fontId="29" fillId="0" borderId="0" numFmtId="0" xfId="0" applyFont="1" applyAlignment="1">
      <alignment vertical="center" wrapText="1"/>
    </xf>
    <xf fontId="0" fillId="36" borderId="15" numFmtId="0" xfId="0" applyFill="1" applyBorder="1" applyAlignment="1">
      <alignment horizontal="center" vertical="center" wrapText="1"/>
    </xf>
    <xf fontId="29" fillId="0" borderId="13" numFmtId="0" xfId="0" applyFont="1" applyBorder="1" applyAlignment="1">
      <alignment horizontal="left" vertical="center" wrapText="1"/>
    </xf>
    <xf fontId="29" fillId="0" borderId="0" numFmtId="0" xfId="0" applyFont="1" applyAlignment="1">
      <alignment horizontal="left" vertical="center" wrapText="1"/>
    </xf>
    <xf fontId="0" fillId="37" borderId="15" numFmtId="0" xfId="0" applyFill="1" applyBorder="1" applyAlignment="1">
      <alignment horizontal="center" vertical="center" wrapText="1"/>
    </xf>
    <xf fontId="0" fillId="38" borderId="15" numFmtId="0" xfId="0" applyFill="1" applyBorder="1" applyAlignment="1">
      <alignment horizontal="center" vertical="center" wrapText="1"/>
    </xf>
    <xf fontId="25" fillId="34" borderId="0" numFmtId="0" xfId="0" applyFont="1" applyFill="1" applyAlignment="1">
      <alignment horizontal="right" indent="1" vertical="center" wrapText="1"/>
    </xf>
    <xf fontId="27" fillId="0" borderId="13" numFmtId="0" xfId="0" applyFont="1" applyBorder="1" applyAlignment="1">
      <alignment horizontal="left" vertical="center" wrapText="1"/>
    </xf>
    <xf fontId="27" fillId="0" borderId="16" numFmtId="0" xfId="0" applyFont="1" applyBorder="1" applyAlignment="1">
      <alignment horizontal="left" vertical="center" wrapText="1"/>
    </xf>
    <xf fontId="25" fillId="34" borderId="15" numFmtId="0" xfId="0" applyFont="1" applyFill="1" applyBorder="1" applyAlignment="1">
      <alignment horizontal="right" indent="1" vertical="center" wrapText="1"/>
    </xf>
    <xf fontId="25" fillId="34" borderId="17" numFmtId="0" xfId="0" applyFont="1" applyFill="1" applyBorder="1" applyAlignment="1">
      <alignment horizontal="right" indent="1" vertical="center" wrapText="1"/>
    </xf>
    <xf fontId="29" fillId="0" borderId="0" numFmtId="0" xfId="0" applyFont="1"/>
    <xf fontId="29" fillId="0" borderId="13" numFmtId="0" xfId="0" applyFont="1" applyBorder="1" applyAlignment="1">
      <alignment wrapText="1"/>
    </xf>
    <xf fontId="29" fillId="0" borderId="0" numFmtId="0" xfId="0" applyFont="1" applyAlignment="1">
      <alignment vertical="top" wrapText="1"/>
    </xf>
    <xf fontId="25" fillId="34" borderId="18" numFmtId="0" xfId="0" applyFont="1" applyFill="1" applyBorder="1" applyAlignment="1">
      <alignment horizontal="right" indent="1" vertical="center" wrapText="1"/>
    </xf>
    <xf fontId="25" fillId="34" borderId="19" numFmtId="0" xfId="0" applyFont="1" applyFill="1" applyBorder="1" applyAlignment="1">
      <alignment horizontal="right" indent="1" vertical="center" wrapText="1"/>
    </xf>
    <xf fontId="21" fillId="0" borderId="18" numFmtId="0" xfId="0" applyFont="1" applyBorder="1" applyAlignment="1">
      <alignment wrapText="1"/>
    </xf>
    <xf fontId="21" fillId="0" borderId="19" numFmtId="0" xfId="0" applyFont="1" applyBorder="1" applyAlignment="1">
      <alignment wrapText="1"/>
    </xf>
    <xf fontId="21" fillId="0" borderId="19" numFmtId="0" xfId="0" applyFont="1" applyBorder="1" applyAlignment="1">
      <alignment vertical="center" wrapText="1"/>
    </xf>
    <xf fontId="22" fillId="0" borderId="0" numFmtId="0" xfId="0" applyFont="1"/>
    <xf fontId="21" fillId="0" borderId="0" numFmtId="49" xfId="0" applyNumberFormat="1" applyFont="1" applyAlignment="1">
      <alignment vertical="top" wrapText="1"/>
    </xf>
    <xf fontId="30" fillId="0" borderId="0" numFmtId="0" xfId="0" applyFont="1" applyAlignment="1">
      <alignment horizontal="left" vertical="center" wrapText="1"/>
    </xf>
    <xf fontId="31" fillId="0" borderId="0" numFmtId="0" xfId="0" applyFont="1" applyAlignment="1">
      <alignment horizontal="left" vertical="center" wrapText="1"/>
    </xf>
    <xf fontId="32" fillId="0" borderId="0" numFmtId="0" xfId="0" applyFont="1" applyAlignment="1">
      <alignment vertical="center" wrapText="1"/>
    </xf>
    <xf fontId="26" fillId="0" borderId="0" numFmtId="0" xfId="0" applyFont="1" applyAlignment="1">
      <alignment vertical="center" wrapText="1"/>
    </xf>
    <xf fontId="26" fillId="0" borderId="0" numFmtId="0" xfId="0" applyFont="1" applyAlignment="1">
      <alignment horizontal="center" vertical="center" wrapText="1"/>
    </xf>
    <xf fontId="31" fillId="0" borderId="0" numFmtId="0" xfId="0" applyFont="1" applyAlignment="1">
      <alignment horizontal="center" vertical="center" wrapText="1"/>
    </xf>
    <xf fontId="33" fillId="0" borderId="0" numFmtId="0" xfId="0" applyFont="1" applyAlignment="1">
      <alignment vertical="center" wrapText="1"/>
    </xf>
    <xf fontId="34" fillId="0" borderId="0" numFmtId="0" xfId="0" applyFont="1" applyAlignment="1">
      <alignment vertical="center" wrapText="1"/>
    </xf>
    <xf fontId="34" fillId="0" borderId="0" numFmtId="0" xfId="0" applyFont="1" applyAlignment="1">
      <alignment horizontal="left" vertical="center" wrapText="1"/>
    </xf>
    <xf fontId="31" fillId="0" borderId="0" numFmtId="0" xfId="0" applyFont="1" applyAlignment="1">
      <alignment vertical="center" wrapText="1"/>
    </xf>
    <xf fontId="35" fillId="0" borderId="0" numFmtId="0" xfId="0" applyFont="1" applyAlignment="1">
      <alignment vertical="center" wrapText="1"/>
    </xf>
    <xf fontId="26" fillId="0" borderId="0" numFmtId="0" xfId="0" applyFont="1" applyAlignment="1">
      <alignment horizontal="left" indent="1" vertical="top"/>
    </xf>
    <xf fontId="21" fillId="0" borderId="0" numFmtId="49" xfId="0" applyNumberFormat="1" applyFont="1" applyAlignment="1">
      <alignment vertical="top"/>
    </xf>
    <xf fontId="26" fillId="0" borderId="0" numFmtId="49" xfId="0" applyNumberFormat="1" applyFont="1" applyAlignment="1">
      <alignment vertical="center" wrapText="1"/>
    </xf>
    <xf fontId="33" fillId="0" borderId="0" numFmtId="49" xfId="0" applyNumberFormat="1" applyFont="1" applyAlignment="1">
      <alignment vertical="center" wrapText="1"/>
    </xf>
    <xf fontId="0" fillId="0" borderId="0" numFmtId="0" xfId="0" applyAlignment="1">
      <alignment horizontal="left" indent="1" vertical="center"/>
    </xf>
    <xf fontId="0" fillId="0" borderId="0" numFmtId="49" xfId="0" applyNumberFormat="1" applyAlignment="1">
      <alignment vertical="top"/>
    </xf>
    <xf fontId="33" fillId="0" borderId="0" numFmtId="49" xfId="0" applyNumberFormat="1" applyFont="1" applyAlignment="1">
      <alignment vertical="top"/>
    </xf>
    <xf fontId="36" fillId="0" borderId="0" numFmtId="0" xfId="0" applyFont="1" applyAlignment="1">
      <alignment vertical="center" wrapText="1"/>
    </xf>
    <xf fontId="37" fillId="0" borderId="0" numFmtId="0" xfId="0" applyFont="1" applyAlignment="1">
      <alignment horizontal="left" vertical="center" wrapText="1"/>
    </xf>
    <xf fontId="38" fillId="0" borderId="0" numFmtId="0" xfId="0" applyFont="1" applyAlignment="1">
      <alignment vertical="center" wrapText="1"/>
    </xf>
    <xf fontId="36" fillId="39" borderId="0" numFmtId="0" xfId="0" applyFont="1" applyFill="1" applyAlignment="1">
      <alignment vertical="center" wrapText="1"/>
    </xf>
    <xf fontId="36" fillId="0" borderId="0" numFmtId="0" xfId="0" applyFont="1" applyAlignment="1">
      <alignment horizontal="right" vertical="center"/>
    </xf>
    <xf fontId="39" fillId="0" borderId="0" numFmtId="0" xfId="0" applyFont="1" applyAlignment="1">
      <alignment vertical="center" wrapText="1"/>
    </xf>
    <xf fontId="40" fillId="39" borderId="0" numFmtId="0" xfId="0" applyFont="1" applyFill="1" applyAlignment="1">
      <alignment vertical="center" wrapText="1"/>
    </xf>
    <xf fontId="26" fillId="0" borderId="20" numFmtId="0" xfId="0" applyFont="1" applyBorder="1" applyAlignment="1">
      <alignment horizontal="center" vertical="center" wrapText="1"/>
    </xf>
    <xf fontId="26" fillId="0" borderId="21" numFmtId="0" xfId="0" applyFont="1" applyBorder="1" applyAlignment="1">
      <alignment horizontal="center" vertical="center" wrapText="1"/>
    </xf>
    <xf fontId="41" fillId="39" borderId="0" numFmtId="0" xfId="0" applyFont="1" applyFill="1" applyAlignment="1">
      <alignment vertical="center" wrapText="1"/>
    </xf>
    <xf fontId="42" fillId="0" borderId="0" numFmtId="0" xfId="0" applyFont="1" applyAlignment="1">
      <alignment vertical="center" wrapText="1"/>
    </xf>
    <xf fontId="36" fillId="39" borderId="0" numFmtId="0" xfId="0" applyFont="1" applyFill="1" applyAlignment="1">
      <alignment horizontal="right" indent="1" vertical="center" wrapText="1"/>
    </xf>
    <xf fontId="43" fillId="39" borderId="0" numFmtId="0" xfId="0" applyFont="1" applyFill="1" applyAlignment="1">
      <alignment horizontal="center" vertical="center" wrapText="1"/>
    </xf>
    <xf fontId="26" fillId="39" borderId="22" numFmtId="0" xfId="0" applyFont="1" applyFill="1" applyBorder="1" applyAlignment="1">
      <alignment horizontal="right" indent="1" vertical="center" wrapText="1"/>
    </xf>
    <xf fontId="0" fillId="37" borderId="23" numFmtId="0" xfId="0" applyFill="1" applyBorder="1" applyAlignment="1">
      <alignment horizontal="left" indent="1" vertical="center" wrapText="1"/>
    </xf>
    <xf fontId="30" fillId="39" borderId="0" numFmtId="14" xfId="0" applyNumberFormat="1" applyFont="1" applyFill="1" applyAlignment="1">
      <alignment horizontal="left" vertical="center" wrapText="1"/>
    </xf>
    <xf fontId="37" fillId="39" borderId="0" numFmtId="0" xfId="0" applyFont="1" applyFill="1" applyAlignment="1">
      <alignment horizontal="center" vertical="center" wrapText="1"/>
    </xf>
    <xf fontId="36" fillId="39" borderId="0" numFmtId="0" xfId="0" applyFont="1" applyFill="1" applyAlignment="1">
      <alignment horizontal="left" indent="1" vertical="center" wrapText="1"/>
    </xf>
    <xf fontId="26" fillId="39" borderId="0" numFmtId="0" xfId="0" applyFont="1" applyFill="1" applyAlignment="1">
      <alignment horizontal="center" vertical="center" wrapText="1"/>
    </xf>
    <xf fontId="39" fillId="0" borderId="0" numFmtId="0" xfId="0" applyFont="1" applyAlignment="1">
      <alignment horizontal="center" vertical="center" wrapText="1"/>
    </xf>
    <xf fontId="26" fillId="38" borderId="23" numFmtId="0" xfId="0" applyFont="1" applyFill="1" applyBorder="1" applyAlignment="1">
      <alignment horizontal="left" indent="1" vertical="center" wrapText="1"/>
      <protection locked="0"/>
    </xf>
    <xf fontId="44" fillId="0" borderId="23" numFmtId="14" xfId="0" applyNumberFormat="1" applyFont="1" applyBorder="1" applyAlignment="1">
      <alignment horizontal="center" vertical="center" wrapText="1"/>
    </xf>
    <xf fontId="0" fillId="38" borderId="23" numFmtId="164" xfId="0" applyNumberFormat="1" applyFill="1" applyBorder="1" applyAlignment="1">
      <alignment horizontal="left" indent="1" vertical="center" wrapText="1"/>
      <protection locked="0"/>
    </xf>
    <xf fontId="45" fillId="0" borderId="0" numFmtId="0" xfId="0" applyFont="1" applyAlignment="1">
      <alignment horizontal="left" indent="1" vertical="center"/>
    </xf>
    <xf fontId="26" fillId="39" borderId="0" numFmtId="0" xfId="0" applyFont="1" applyFill="1" applyAlignment="1">
      <alignment vertical="center" wrapText="1"/>
    </xf>
    <xf fontId="44" fillId="0" borderId="23" numFmtId="14" xfId="0" applyNumberFormat="1" applyFont="1" applyBorder="1" applyAlignment="1">
      <alignment horizontal="left" vertical="center" wrapText="1"/>
    </xf>
    <xf fontId="26" fillId="39" borderId="22" numFmtId="49" xfId="0" applyNumberFormat="1" applyFont="1" applyFill="1" applyBorder="1" applyAlignment="1">
      <alignment horizontal="right" indent="1" vertical="center" wrapText="1"/>
    </xf>
    <xf fontId="0" fillId="38" borderId="23" numFmtId="0" xfId="0" applyFill="1" applyBorder="1" applyAlignment="1">
      <alignment horizontal="left" indent="1" vertical="center" wrapText="1"/>
      <protection locked="0"/>
    </xf>
    <xf fontId="26" fillId="38" borderId="23" numFmtId="49" xfId="0" applyNumberFormat="1" applyFont="1" applyFill="1" applyBorder="1" applyAlignment="1">
      <alignment horizontal="left" indent="1" vertical="center" wrapText="1"/>
      <protection locked="0"/>
    </xf>
    <xf fontId="0" fillId="0" borderId="23" numFmtId="164" xfId="0" applyNumberFormat="1" applyBorder="1" applyAlignment="1">
      <alignment horizontal="left" indent="1" vertical="center" wrapText="1"/>
    </xf>
    <xf fontId="0" fillId="39" borderId="0" numFmtId="0" xfId="0" applyFill="1" applyAlignment="1">
      <alignment horizontal="right" indent="1" vertical="center" wrapText="1"/>
    </xf>
    <xf fontId="42" fillId="0" borderId="0" numFmtId="0" xfId="0" applyFont="1" applyAlignment="1">
      <alignment horizontal="left" vertical="center" wrapText="1"/>
    </xf>
    <xf fontId="26" fillId="39" borderId="0" numFmtId="0" xfId="0" applyFont="1" applyFill="1" applyAlignment="1">
      <alignment horizontal="right" indent="1" vertical="center" wrapText="1"/>
    </xf>
    <xf fontId="0" fillId="39" borderId="0" numFmtId="0" xfId="0" applyFill="1" applyAlignment="1">
      <alignment horizontal="left" indent="1" vertical="center" wrapText="1"/>
    </xf>
    <xf fontId="26" fillId="0" borderId="23" numFmtId="49" xfId="0" applyNumberFormat="1" applyFont="1" applyBorder="1" applyAlignment="1">
      <alignment horizontal="left" indent="1" vertical="center" wrapText="1"/>
    </xf>
    <xf fontId="32" fillId="0" borderId="0" numFmtId="0" xfId="0" applyFont="1" applyAlignment="1">
      <alignment horizontal="center" vertical="center" wrapText="1"/>
    </xf>
    <xf fontId="46" fillId="39" borderId="0" numFmtId="0" xfId="0" applyFont="1" applyFill="1" applyAlignment="1">
      <alignment horizontal="center" vertical="center" wrapText="1"/>
    </xf>
    <xf fontId="26" fillId="37" borderId="23" numFmtId="49" xfId="0" applyNumberFormat="1" applyFont="1" applyFill="1" applyBorder="1" applyAlignment="1">
      <alignment horizontal="left" indent="1" vertical="center" wrapText="1"/>
    </xf>
    <xf fontId="26" fillId="39" borderId="0" numFmtId="14" xfId="0" applyNumberFormat="1" applyFont="1" applyFill="1" applyAlignment="1">
      <alignment horizontal="center" vertical="center" wrapText="1"/>
    </xf>
    <xf fontId="0" fillId="39" borderId="22" numFmtId="0" xfId="0" applyFill="1" applyBorder="1" applyAlignment="1">
      <alignment horizontal="right" indent="1" vertical="center" wrapText="1"/>
    </xf>
    <xf fontId="26" fillId="35" borderId="23" numFmtId="49" xfId="0" applyNumberFormat="1" applyFont="1" applyFill="1" applyBorder="1" applyAlignment="1">
      <alignment horizontal="left" indent="1" vertical="center" wrapText="1"/>
      <protection locked="0"/>
    </xf>
    <xf fontId="26" fillId="0" borderId="0" numFmtId="0" xfId="0" applyFont="1" applyAlignment="1">
      <alignment vertical="center"/>
    </xf>
    <xf fontId="26" fillId="39" borderId="0" numFmtId="14" xfId="0" applyNumberFormat="1" applyFont="1" applyFill="1" applyAlignment="1">
      <alignment horizontal="left" vertical="center" wrapText="1"/>
    </xf>
    <xf fontId="47" fillId="39" borderId="0" numFmtId="0" xfId="0" applyFont="1" applyFill="1" applyAlignment="1">
      <alignment horizontal="right" indent="1" vertical="center" wrapText="1"/>
    </xf>
    <xf fontId="47" fillId="39" borderId="0" numFmtId="0" xfId="0" applyFont="1" applyFill="1" applyAlignment="1">
      <alignment horizontal="left" indent="1" vertical="center" wrapText="1"/>
    </xf>
    <xf fontId="26" fillId="40" borderId="23" numFmtId="49" xfId="0" applyNumberFormat="1" applyFont="1" applyFill="1" applyBorder="1" applyAlignment="1">
      <alignment horizontal="left" indent="1" vertical="center" wrapText="1"/>
    </xf>
    <xf fontId="48" fillId="38" borderId="23" numFmtId="49" xfId="0" applyNumberFormat="1" applyFont="1" applyFill="1" applyBorder="1" applyAlignment="1">
      <alignment horizontal="left" indent="1" vertical="center" wrapText="1"/>
      <protection locked="0"/>
    </xf>
    <xf fontId="49" fillId="0" borderId="0" numFmtId="14" xfId="0" applyNumberFormat="1" applyFont="1" applyAlignment="1">
      <alignment horizontal="center" vertical="center" wrapText="1"/>
    </xf>
    <xf fontId="33" fillId="0" borderId="0" numFmtId="0" xfId="0" applyFont="1" applyAlignment="1">
      <alignment horizontal="center" vertical="center" wrapText="1"/>
    </xf>
    <xf fontId="50" fillId="0" borderId="0" numFmtId="0" xfId="0" applyFont="1" applyAlignment="1">
      <alignment vertical="center" wrapText="1"/>
    </xf>
    <xf fontId="26" fillId="40" borderId="23" numFmtId="0" xfId="0" applyFont="1" applyFill="1" applyBorder="1" applyAlignment="1">
      <alignment horizontal="left" indent="1" vertical="center" wrapText="1"/>
    </xf>
    <xf fontId="0" fillId="0" borderId="24" numFmtId="164" xfId="0" applyNumberFormat="1" applyBorder="1" applyAlignment="1">
      <alignment horizontal="left" indent="1" vertical="center" wrapText="1"/>
    </xf>
    <xf fontId="31" fillId="0" borderId="0" numFmtId="49" xfId="0" applyNumberFormat="1" applyFont="1" applyAlignment="1">
      <alignment horizontal="left" vertical="center" wrapText="1"/>
    </xf>
    <xf fontId="40" fillId="39" borderId="0" numFmtId="49" xfId="0" applyNumberFormat="1" applyFont="1" applyFill="1" applyAlignment="1">
      <alignment horizontal="center" vertical="center" wrapText="1"/>
    </xf>
    <xf fontId="26" fillId="0" borderId="0" numFmtId="0" xfId="0" applyFont="1" applyAlignment="1">
      <alignment horizontal="left" indent="4" vertical="center" wrapText="1"/>
    </xf>
    <xf fontId="26" fillId="0" borderId="0" numFmtId="0" xfId="0" applyFont="1" applyAlignment="1">
      <alignment horizontal="left" indent="1" vertical="center" wrapText="1"/>
    </xf>
    <xf fontId="51" fillId="38" borderId="23" numFmtId="49" xfId="0" applyNumberFormat="1" applyFont="1" applyFill="1" applyBorder="1" applyAlignment="1">
      <alignment horizontal="left" indent="1" vertical="center" wrapText="1"/>
      <protection locked="0"/>
    </xf>
    <xf fontId="0" fillId="0" borderId="0" numFmtId="0" xfId="0" applyAlignment="1">
      <alignment horizontal="center" vertical="center" wrapText="1"/>
    </xf>
    <xf fontId="26" fillId="39" borderId="0" numFmtId="49" xfId="0" applyNumberFormat="1" applyFont="1" applyFill="1" applyAlignment="1">
      <alignment horizontal="right" indent="1" vertical="center" wrapText="1"/>
    </xf>
    <xf fontId="26" fillId="0" borderId="0" numFmtId="49" xfId="0" applyNumberFormat="1" applyFont="1" applyAlignment="1">
      <alignment horizontal="center" vertical="center" wrapText="1"/>
    </xf>
    <xf fontId="0" fillId="39" borderId="0" numFmtId="49" xfId="0" applyNumberFormat="1" applyFill="1" applyAlignment="1">
      <alignment horizontal="right" indent="1" vertical="center" wrapText="1"/>
    </xf>
    <xf fontId="41" fillId="0" borderId="0" numFmtId="0" xfId="0" applyFont="1" applyAlignment="1">
      <alignment vertical="top" wrapText="1"/>
    </xf>
    <xf fontId="52" fillId="0" borderId="0" numFmtId="0" xfId="0" applyFont="1" applyAlignment="1">
      <alignment horizontal="center" vertical="center" wrapText="1"/>
    </xf>
    <xf fontId="35" fillId="0" borderId="0" numFmtId="0" xfId="0" applyFont="1" applyAlignment="1">
      <alignment vertical="center"/>
    </xf>
    <xf fontId="53" fillId="0" borderId="0" numFmtId="0" xfId="0" applyFont="1" applyAlignment="1">
      <alignment vertical="center"/>
    </xf>
    <xf fontId="54" fillId="0" borderId="0" numFmtId="0" xfId="0" applyFont="1" applyAlignment="1">
      <alignment vertical="center" wrapText="1"/>
    </xf>
    <xf fontId="35" fillId="0" borderId="0" numFmtId="0" xfId="0" applyFont="1" applyAlignment="1">
      <alignment horizontal="center" vertical="center" wrapText="1"/>
    </xf>
    <xf fontId="35" fillId="0" borderId="0" numFmtId="0" xfId="0" applyFont="1" applyAlignment="1">
      <alignment horizontal="left" indent="1" vertical="center"/>
    </xf>
    <xf fontId="35" fillId="0" borderId="0" numFmtId="0" xfId="0" applyFont="1" applyAlignment="1">
      <alignment horizontal="left" indent="1" vertical="center" wrapText="1"/>
    </xf>
    <xf fontId="55" fillId="0" borderId="0" numFmtId="0" xfId="0" applyFont="1" applyAlignment="1">
      <alignment vertical="center" wrapText="1"/>
    </xf>
    <xf fontId="33" fillId="0" borderId="0" numFmtId="0" xfId="0" applyFont="1" applyAlignment="1">
      <alignment horizontal="left" indent="1" vertical="center" wrapText="1"/>
    </xf>
    <xf fontId="55" fillId="0" borderId="0" numFmtId="0" xfId="0" applyFont="1" applyAlignment="1">
      <alignment horizontal="left" indent="1" vertical="center" wrapText="1"/>
    </xf>
    <xf fontId="56" fillId="0" borderId="0" numFmtId="0" xfId="0" applyFont="1" applyAlignment="1">
      <alignment horizontal="left" indent="1" vertical="center"/>
    </xf>
    <xf fontId="57" fillId="0" borderId="0" numFmtId="0" xfId="0" applyFont="1" applyAlignment="1">
      <alignment vertical="center" wrapText="1"/>
    </xf>
    <xf fontId="26" fillId="0" borderId="0" numFmtId="0" xfId="0" applyFont="1" applyAlignment="1">
      <alignment horizontal="right" vertical="center" wrapText="1"/>
    </xf>
    <xf fontId="26" fillId="0" borderId="25" numFmtId="0" xfId="0" applyFont="1" applyBorder="1" applyAlignment="1">
      <alignment horizontal="left" indent="1" vertical="center" wrapText="1"/>
    </xf>
    <xf fontId="26" fillId="0" borderId="0" numFmtId="4" xfId="0" applyNumberFormat="1" applyFont="1" applyAlignment="1">
      <alignment horizontal="right" vertical="center" wrapText="1"/>
    </xf>
    <xf fontId="26" fillId="0" borderId="0" numFmtId="49" xfId="0" applyNumberFormat="1" applyFont="1" applyAlignment="1">
      <alignment vertical="top"/>
    </xf>
    <xf fontId="26" fillId="0" borderId="0" numFmtId="4" xfId="0" applyNumberFormat="1" applyFont="1" applyAlignment="1">
      <alignment horizontal="center" vertical="center" wrapText="1"/>
    </xf>
    <xf fontId="26" fillId="0" borderId="25" numFmtId="0" xfId="0" applyFont="1" applyBorder="1" applyAlignment="1">
      <alignment horizontal="center" vertical="center" wrapText="1"/>
    </xf>
    <xf fontId="26" fillId="0" borderId="23" numFmtId="4" xfId="0" applyNumberFormat="1" applyFont="1" applyBorder="1" applyAlignment="1">
      <alignment horizontal="center" vertical="center" wrapText="1"/>
    </xf>
    <xf fontId="26" fillId="0" borderId="21" numFmtId="165" xfId="0" applyNumberFormat="1" applyFont="1" applyBorder="1" applyAlignment="1">
      <alignment horizontal="center" vertical="center" wrapText="1"/>
    </xf>
    <xf fontId="26" fillId="0" borderId="23" numFmtId="165" xfId="0" applyNumberFormat="1" applyFont="1" applyBorder="1" applyAlignment="1">
      <alignment horizontal="center" vertical="center" wrapText="1"/>
    </xf>
    <xf fontId="58" fillId="0" borderId="0" numFmtId="0" xfId="0" applyFont="1" applyAlignment="1">
      <alignment horizontal="center" vertical="center" wrapText="1"/>
    </xf>
    <xf fontId="58" fillId="0" borderId="25" numFmtId="49" xfId="0" applyNumberFormat="1" applyFont="1" applyBorder="1" applyAlignment="1">
      <alignment horizontal="center" vertical="center" wrapText="1"/>
    </xf>
    <xf fontId="33" fillId="0" borderId="0" numFmtId="0" xfId="0" applyFont="1" applyAlignment="1">
      <alignment vertical="center"/>
    </xf>
    <xf fontId="59" fillId="0" borderId="0" numFmtId="0" xfId="0" applyFont="1" applyAlignment="1">
      <alignment vertical="center"/>
    </xf>
    <xf fontId="26" fillId="41" borderId="26" numFmtId="49" xfId="0" applyNumberFormat="1" applyFont="1" applyFill="1" applyBorder="1" applyAlignment="1">
      <alignment horizontal="center" vertical="center" wrapText="1"/>
    </xf>
    <xf fontId="33" fillId="41" borderId="26" numFmtId="49" xfId="0" applyNumberFormat="1" applyFont="1" applyFill="1" applyBorder="1" applyAlignment="1">
      <alignment horizontal="left" vertical="center" wrapText="1"/>
    </xf>
    <xf fontId="33" fillId="41" borderId="27" numFmtId="49" xfId="0" applyNumberFormat="1" applyFont="1" applyFill="1" applyBorder="1" applyAlignment="1">
      <alignment horizontal="left" vertical="center" wrapText="1"/>
    </xf>
    <xf fontId="35" fillId="0" borderId="28" numFmtId="0" xfId="0" applyFont="1" applyBorder="1" applyAlignment="1">
      <alignment vertical="center"/>
    </xf>
    <xf fontId="26" fillId="0" borderId="23" numFmtId="0" xfId="0" applyFont="1" applyBorder="1" applyAlignment="1">
      <alignment horizontal="center" vertical="center" wrapText="1"/>
    </xf>
    <xf fontId="35" fillId="0" borderId="23" numFmtId="0" xfId="0" applyFont="1" applyBorder="1" applyAlignment="1">
      <alignment horizontal="center" vertical="center" wrapText="1"/>
    </xf>
    <xf fontId="26" fillId="38" borderId="23" numFmtId="49" xfId="0" applyNumberFormat="1" applyFont="1" applyFill="1" applyBorder="1" applyAlignment="1">
      <alignment vertical="center" wrapText="1"/>
      <protection locked="0"/>
    </xf>
    <xf fontId="33" fillId="0" borderId="23" numFmtId="49" xfId="0" applyNumberFormat="1" applyFont="1" applyBorder="1" applyAlignment="1">
      <alignment horizontal="left" vertical="center" wrapText="1"/>
    </xf>
    <xf fontId="58" fillId="0" borderId="29" numFmtId="0" xfId="0" applyFont="1" applyBorder="1" applyAlignment="1">
      <alignment vertical="top" wrapText="1"/>
    </xf>
    <xf fontId="26" fillId="0" borderId="30" numFmtId="0" xfId="0" applyFont="1" applyBorder="1" applyAlignment="1">
      <alignment horizontal="center" vertical="center" wrapText="1"/>
    </xf>
    <xf fontId="35" fillId="0" borderId="30" numFmtId="0" xfId="0" applyFont="1" applyBorder="1" applyAlignment="1">
      <alignment horizontal="center" vertical="center" wrapText="1"/>
    </xf>
    <xf fontId="26" fillId="40" borderId="30" numFmtId="14" xfId="0" applyNumberFormat="1" applyFont="1" applyFill="1" applyBorder="1" applyAlignment="1">
      <alignment horizontal="left" indent="1" vertical="center" wrapText="1"/>
    </xf>
    <xf fontId="26" fillId="37" borderId="30" numFmtId="49" xfId="0" applyNumberFormat="1" applyFont="1" applyFill="1" applyBorder="1" applyAlignment="1">
      <alignment horizontal="center" vertical="center" wrapText="1"/>
    </xf>
    <xf fontId="60" fillId="0" borderId="0" numFmtId="0" xfId="0" applyFont="1" applyAlignment="1">
      <alignment vertical="center" wrapText="1"/>
    </xf>
    <xf fontId="35" fillId="0" borderId="0" numFmtId="49" xfId="0" applyNumberFormat="1" applyFont="1" applyAlignment="1">
      <alignment vertical="top"/>
    </xf>
    <xf fontId="33" fillId="0" borderId="23" numFmtId="0" xfId="0" applyFont="1" applyBorder="1" applyAlignment="1">
      <alignment horizontal="center" vertical="center" wrapText="1"/>
    </xf>
    <xf fontId="26" fillId="40" borderId="23" numFmtId="14" xfId="0" applyNumberFormat="1" applyFont="1" applyFill="1" applyBorder="1" applyAlignment="1">
      <alignment horizontal="left" indent="1" vertical="center" wrapText="1"/>
    </xf>
    <xf fontId="26" fillId="37" borderId="23" numFmtId="49" xfId="0" applyNumberFormat="1" applyFont="1" applyFill="1" applyBorder="1" applyAlignment="1">
      <alignment horizontal="center" vertical="center" wrapText="1"/>
    </xf>
    <xf fontId="0" fillId="0" borderId="0" numFmtId="0" xfId="0" applyAlignment="1">
      <alignment vertical="center" wrapText="1"/>
    </xf>
    <xf fontId="58" fillId="0" borderId="0" numFmtId="0" xfId="0" applyFont="1" applyAlignment="1">
      <alignment vertical="top" wrapText="1"/>
    </xf>
    <xf fontId="41" fillId="41" borderId="21" numFmtId="49" xfId="0" applyNumberFormat="1" applyFont="1" applyFill="1" applyBorder="1" applyAlignment="1">
      <alignment horizontal="right" vertical="center" wrapText="1"/>
    </xf>
    <xf fontId="41" fillId="41" borderId="25" numFmtId="49" xfId="0" applyNumberFormat="1" applyFont="1" applyFill="1" applyBorder="1" applyAlignment="1">
      <alignment horizontal="right" vertical="center" wrapText="1"/>
    </xf>
    <xf fontId="61" fillId="41" borderId="25" numFmtId="49" xfId="0" applyNumberFormat="1" applyFont="1" applyFill="1" applyBorder="1" applyAlignment="1">
      <alignment horizontal="left" indent="1" vertical="center"/>
    </xf>
    <xf fontId="0" fillId="41" borderId="25" numFmtId="49" xfId="0" applyNumberFormat="1" applyFill="1" applyBorder="1" applyAlignment="1">
      <alignment horizontal="right" vertical="center" wrapText="1"/>
    </xf>
    <xf fontId="0" fillId="41" borderId="20" numFmtId="49" xfId="0" applyNumberFormat="1" applyFill="1" applyBorder="1" applyAlignment="1">
      <alignment horizontal="right" vertical="center" wrapText="1"/>
    </xf>
    <xf fontId="26" fillId="41" borderId="21" numFmtId="49" xfId="0" applyNumberFormat="1" applyFont="1" applyFill="1" applyBorder="1" applyAlignment="1">
      <alignment horizontal="right" vertical="center" wrapText="1"/>
    </xf>
    <xf fontId="26" fillId="41" borderId="25" numFmtId="49" xfId="0" applyNumberFormat="1" applyFont="1" applyFill="1" applyBorder="1" applyAlignment="1">
      <alignment horizontal="right" vertical="center" wrapText="1"/>
    </xf>
    <xf fontId="61" fillId="41" borderId="25" numFmtId="49" xfId="0" applyNumberFormat="1" applyFont="1" applyFill="1" applyBorder="1" applyAlignment="1">
      <alignment horizontal="left" vertical="center"/>
    </xf>
    <xf fontId="26" fillId="41" borderId="20" numFmtId="49" xfId="0" applyNumberFormat="1" applyFont="1" applyFill="1" applyBorder="1" applyAlignment="1">
      <alignment horizontal="right" vertical="center" wrapText="1"/>
    </xf>
    <xf fontId="26" fillId="0" borderId="31" numFmtId="0" xfId="0" applyFont="1" applyBorder="1" applyAlignment="1">
      <alignment vertical="center" wrapText="1"/>
    </xf>
    <xf fontId="62" fillId="0" borderId="0" numFmtId="0" xfId="0" applyFont="1" applyAlignment="1">
      <alignment vertical="center" wrapText="1"/>
    </xf>
    <xf fontId="63" fillId="0" borderId="0" numFmtId="0" xfId="0" applyFont="1" applyAlignment="1">
      <alignment vertical="center" wrapText="1"/>
    </xf>
    <xf fontId="64" fillId="0" borderId="0" numFmtId="0" xfId="0" applyFont="1" applyAlignment="1">
      <alignment horizontal="center" vertical="center" wrapText="1"/>
    </xf>
    <xf fontId="0" fillId="0" borderId="0" numFmtId="0" xfId="0" applyAlignment="1">
      <alignment vertical="center"/>
    </xf>
    <xf fontId="26" fillId="0" borderId="27" numFmtId="0" xfId="0" applyFont="1" applyBorder="1" applyAlignment="1">
      <alignment horizontal="left" indent="1" vertical="center" wrapText="1"/>
    </xf>
    <xf fontId="26" fillId="0" borderId="32" numFmtId="0" xfId="0" applyFont="1" applyBorder="1" applyAlignment="1">
      <alignment horizontal="left" indent="1" vertical="center" wrapText="1"/>
    </xf>
    <xf fontId="26" fillId="0" borderId="33" numFmtId="0" xfId="0" applyFont="1" applyBorder="1" applyAlignment="1">
      <alignment horizontal="left" indent="1" vertical="center" wrapText="1"/>
    </xf>
    <xf fontId="65" fillId="0" borderId="0" numFmtId="0" xfId="0" applyFont="1" applyAlignment="1">
      <alignment vertical="center"/>
    </xf>
    <xf fontId="26" fillId="0" borderId="34" numFmtId="0" xfId="0" applyFont="1" applyBorder="1" applyAlignment="1">
      <alignment horizontal="left" indent="1" vertical="center"/>
    </xf>
    <xf fontId="26" fillId="0" borderId="30" numFmtId="0" xfId="0" applyFont="1" applyBorder="1" applyAlignment="1">
      <alignment horizontal="left" indent="1" vertical="center"/>
    </xf>
    <xf fontId="26" fillId="0" borderId="35" numFmtId="0" xfId="0" applyFont="1" applyBorder="1" applyAlignment="1">
      <alignment horizontal="left" indent="1" vertical="center"/>
    </xf>
    <xf fontId="66" fillId="0" borderId="0" numFmtId="0" xfId="0" applyFont="1" applyAlignment="1">
      <alignment vertical="center"/>
    </xf>
    <xf fontId="67" fillId="0" borderId="0" numFmtId="0" xfId="0" applyFont="1" applyAlignment="1">
      <alignment vertical="center"/>
    </xf>
    <xf fontId="68" fillId="0" borderId="0" numFmtId="0" xfId="0" applyFont="1" applyAlignment="1">
      <alignment vertical="center"/>
    </xf>
    <xf fontId="0" fillId="0" borderId="0" numFmtId="0" xfId="0" applyAlignment="1">
      <alignment horizontal="left" indent="2" vertical="center" wrapText="1"/>
    </xf>
    <xf fontId="0" fillId="0" borderId="0" numFmtId="0" xfId="0" applyAlignment="1">
      <alignment horizontal="left" indent="2" vertical="center"/>
    </xf>
    <xf fontId="6" fillId="0" borderId="0" numFmtId="0" xfId="0" applyFont="1" applyAlignment="1">
      <alignment vertical="center"/>
    </xf>
    <xf fontId="26" fillId="42" borderId="0" numFmtId="0" xfId="0" applyFont="1" applyFill="1" applyAlignment="1">
      <alignment horizontal="center" vertical="center" wrapText="1"/>
    </xf>
    <xf fontId="69" fillId="0" borderId="33" numFmtId="0" xfId="0" applyFont="1" applyBorder="1" applyAlignment="1">
      <alignment horizontal="center" vertical="center" wrapText="1"/>
    </xf>
    <xf fontId="69" fillId="0" borderId="26" numFmtId="0" xfId="0" applyFont="1" applyBorder="1" applyAlignment="1">
      <alignment horizontal="center" vertical="center" wrapText="1"/>
    </xf>
    <xf fontId="69" fillId="0" borderId="23" numFmtId="0" xfId="0" applyFont="1" applyBorder="1" applyAlignment="1">
      <alignment horizontal="center" vertical="center" wrapText="1"/>
    </xf>
    <xf fontId="70" fillId="0" borderId="0" numFmtId="0" xfId="0" applyFont="1" applyAlignment="1">
      <alignment horizontal="center" vertical="center" wrapText="1"/>
    </xf>
    <xf fontId="26" fillId="0" borderId="36" numFmtId="0" xfId="0" applyFont="1" applyBorder="1" applyAlignment="1">
      <alignment horizontal="center" vertical="center" wrapText="1"/>
    </xf>
    <xf fontId="26" fillId="0" borderId="37" numFmtId="0" xfId="0" applyFont="1" applyBorder="1" applyAlignment="1">
      <alignment horizontal="center" vertical="center" wrapText="1"/>
    </xf>
    <xf fontId="33" fillId="0" borderId="28" numFmtId="0" xfId="0" applyFont="1" applyBorder="1" applyAlignment="1">
      <alignment vertical="center"/>
    </xf>
    <xf fontId="58" fillId="0" borderId="0" numFmtId="49" xfId="0" applyNumberFormat="1" applyFont="1" applyAlignment="1">
      <alignment horizontal="center" vertical="center" wrapText="1"/>
    </xf>
    <xf fontId="58" fillId="0" borderId="23" numFmtId="49" xfId="0" applyNumberFormat="1" applyFont="1" applyBorder="1" applyAlignment="1">
      <alignment horizontal="center" vertical="center" wrapText="1"/>
    </xf>
    <xf fontId="58" fillId="0" borderId="38" numFmtId="49" xfId="0" applyNumberFormat="1" applyFont="1" applyBorder="1" applyAlignment="1">
      <alignment horizontal="center" vertical="center" wrapText="1"/>
    </xf>
    <xf fontId="58" fillId="0" borderId="39" numFmtId="49" xfId="0" applyNumberFormat="1" applyFont="1" applyBorder="1" applyAlignment="1">
      <alignment horizontal="center" vertical="center" wrapText="1"/>
    </xf>
    <xf fontId="58" fillId="0" borderId="21" numFmtId="49" xfId="0" applyNumberFormat="1" applyFont="1" applyBorder="1" applyAlignment="1">
      <alignment horizontal="center" vertical="center" wrapText="1"/>
    </xf>
    <xf fontId="58" fillId="0" borderId="20" numFmtId="49" xfId="0" applyNumberFormat="1" applyFont="1" applyBorder="1" applyAlignment="1">
      <alignment horizontal="center" vertical="center" wrapText="1"/>
    </xf>
    <xf fontId="35" fillId="0" borderId="0" numFmtId="0" xfId="0" applyFont="1" applyAlignment="1">
      <alignment horizontal="center" vertical="center"/>
    </xf>
    <xf fontId="26" fillId="41" borderId="21" numFmtId="0" xfId="0" applyFont="1" applyFill="1" applyBorder="1" applyAlignment="1">
      <alignment horizontal="center" vertical="center" wrapText="1"/>
    </xf>
    <xf fontId="26" fillId="41" borderId="25" numFmtId="49" xfId="0" applyNumberFormat="1" applyFont="1" applyFill="1" applyBorder="1" applyAlignment="1">
      <alignment horizontal="center" vertical="center" wrapText="1"/>
    </xf>
    <xf fontId="26" fillId="41" borderId="40" numFmtId="49" xfId="0" applyNumberFormat="1" applyFont="1" applyFill="1" applyBorder="1" applyAlignment="1">
      <alignment horizontal="center" vertical="center" wrapText="1"/>
    </xf>
    <xf fontId="0" fillId="41" borderId="25" numFmtId="49" xfId="0" applyNumberFormat="1" applyFill="1" applyBorder="1" applyAlignment="1">
      <alignment horizontal="left" vertical="center"/>
    </xf>
    <xf fontId="0" fillId="41" borderId="20" numFmtId="0" xfId="0" applyFill="1" applyBorder="1" applyAlignment="1">
      <alignment vertical="center"/>
    </xf>
    <xf fontId="26" fillId="0" borderId="23" numFmtId="49" xfId="0" applyNumberFormat="1" applyFont="1" applyBorder="1" applyAlignment="1">
      <alignment horizontal="center" vertical="center" wrapText="1"/>
    </xf>
    <xf fontId="26" fillId="40" borderId="32" numFmtId="0" xfId="0" applyFont="1" applyFill="1" applyBorder="1" applyAlignment="1">
      <alignment horizontal="left" indent="2" vertical="center" wrapText="1"/>
    </xf>
    <xf fontId="26" fillId="40" borderId="30" numFmtId="49" xfId="0" applyNumberFormat="1" applyFont="1" applyFill="1" applyBorder="1" applyAlignment="1">
      <alignment horizontal="center" vertical="center" wrapText="1"/>
    </xf>
    <xf fontId="71" fillId="0" borderId="41" numFmtId="14" xfId="0" applyNumberFormat="1" applyFont="1" applyBorder="1" applyAlignment="1">
      <alignment horizontal="center" vertical="center" wrapText="1"/>
    </xf>
    <xf fontId="26" fillId="0" borderId="41" numFmtId="0" xfId="0" applyFont="1" applyBorder="1" applyAlignment="1">
      <alignment horizontal="center" vertical="center" wrapText="1"/>
    </xf>
    <xf fontId="26" fillId="40" borderId="32" numFmtId="0" xfId="0" applyFont="1" applyFill="1" applyBorder="1" applyAlignment="1">
      <alignment horizontal="left" indent="1" vertical="center" wrapText="1"/>
      <protection locked="0"/>
    </xf>
    <xf fontId="26" fillId="40" borderId="23" numFmtId="49" xfId="0" applyNumberFormat="1" applyFont="1" applyFill="1" applyBorder="1" applyAlignment="1">
      <alignment horizontal="center" vertical="center" wrapText="1"/>
    </xf>
    <xf fontId="26" fillId="0" borderId="32" numFmtId="49" xfId="0" applyNumberFormat="1" applyFont="1" applyBorder="1" applyAlignment="1">
      <alignment horizontal="center" vertical="center" wrapText="1"/>
    </xf>
    <xf fontId="69" fillId="0" borderId="23" numFmtId="49" xfId="0" applyNumberFormat="1" applyFont="1" applyBorder="1" applyAlignment="1">
      <alignment horizontal="left" indent="1" vertical="center" wrapText="1"/>
    </xf>
    <xf fontId="26" fillId="40" borderId="42" numFmtId="0" xfId="0" applyFont="1" applyFill="1" applyBorder="1" applyAlignment="1">
      <alignment horizontal="left" indent="2" vertical="center" wrapText="1"/>
    </xf>
    <xf fontId="26" fillId="40" borderId="30" numFmtId="0" xfId="0" applyFont="1" applyFill="1" applyBorder="1" applyAlignment="1">
      <alignment horizontal="left" indent="1" vertical="center" wrapText="1"/>
      <protection locked="0"/>
    </xf>
    <xf fontId="61" fillId="41" borderId="20" numFmtId="49" xfId="0" applyNumberFormat="1" applyFont="1" applyFill="1" applyBorder="1" applyAlignment="1">
      <alignment horizontal="left" indent="1" vertical="center"/>
    </xf>
    <xf fontId="26" fillId="40" borderId="30" numFmtId="0" xfId="0" applyFont="1" applyFill="1" applyBorder="1" applyAlignment="1">
      <alignment horizontal="left" indent="2" vertical="center" wrapText="1"/>
    </xf>
    <xf fontId="41" fillId="41" borderId="43" numFmtId="49" xfId="0" applyNumberFormat="1" applyFont="1" applyFill="1" applyBorder="1" applyAlignment="1">
      <alignment horizontal="right" vertical="center" wrapText="1"/>
    </xf>
    <xf fontId="41" fillId="41" borderId="44" numFmtId="49" xfId="0" applyNumberFormat="1" applyFont="1" applyFill="1" applyBorder="1" applyAlignment="1">
      <alignment horizontal="right" vertical="center" wrapText="1"/>
    </xf>
    <xf fontId="41" fillId="41" borderId="20" numFmtId="49" xfId="0" applyNumberFormat="1" applyFont="1" applyFill="1" applyBorder="1" applyAlignment="1">
      <alignment horizontal="right" vertical="center" wrapText="1"/>
    </xf>
    <xf fontId="69" fillId="42" borderId="0" numFmtId="0" xfId="0" applyFont="1" applyFill="1" applyAlignment="1">
      <alignment vertical="top"/>
    </xf>
    <xf fontId="61" fillId="41" borderId="25" numFmtId="49" xfId="0" applyNumberFormat="1" applyFont="1" applyFill="1" applyBorder="1" applyAlignment="1">
      <alignment horizontal="left" indent="2" vertical="center"/>
    </xf>
    <xf fontId="26" fillId="0" borderId="27" numFmtId="0" xfId="0" applyFont="1" applyBorder="1" applyAlignment="1">
      <alignment horizontal="left" indent="1" vertical="top" wrapText="1"/>
    </xf>
    <xf fontId="26" fillId="0" borderId="32" numFmtId="0" xfId="0" applyFont="1" applyBorder="1" applyAlignment="1">
      <alignment horizontal="left" indent="1" vertical="top" wrapText="1"/>
    </xf>
    <xf fontId="26" fillId="0" borderId="33" numFmtId="0" xfId="0" applyFont="1" applyBorder="1" applyAlignment="1">
      <alignment horizontal="left" indent="1" vertical="top" wrapText="1"/>
    </xf>
    <xf fontId="72" fillId="0" borderId="0" numFmtId="0" xfId="0" applyFont="1" applyAlignment="1">
      <alignment vertical="center" wrapText="1"/>
    </xf>
    <xf fontId="25" fillId="0" borderId="0" numFmtId="0" xfId="0" applyFont="1" applyAlignment="1">
      <alignment vertical="center" wrapText="1"/>
    </xf>
    <xf fontId="26" fillId="0" borderId="45" numFmtId="0" xfId="0" applyFont="1" applyBorder="1" applyAlignment="1">
      <alignment horizontal="left" indent="1" vertical="center"/>
    </xf>
    <xf fontId="73" fillId="0" borderId="0" numFmtId="0" xfId="0" applyFont="1" applyAlignment="1">
      <alignment vertical="center"/>
    </xf>
    <xf fontId="54" fillId="0" borderId="29" numFmtId="0" xfId="0" applyFont="1" applyBorder="1" applyAlignment="1">
      <alignment horizontal="left" indent="1" vertical="center" wrapText="1"/>
    </xf>
    <xf fontId="54" fillId="0" borderId="42" numFmtId="0" xfId="0" applyFont="1" applyBorder="1" applyAlignment="1">
      <alignment horizontal="left" indent="1" vertical="center" wrapText="1"/>
    </xf>
    <xf fontId="54" fillId="0" borderId="28" numFmtId="0" xfId="0" applyFont="1" applyBorder="1" applyAlignment="1">
      <alignment horizontal="left" indent="1" vertical="center" wrapText="1"/>
    </xf>
    <xf fontId="0" fillId="0" borderId="23" numFmtId="0" xfId="0" applyBorder="1" applyAlignment="1">
      <alignment horizontal="center" vertical="center" wrapText="1"/>
    </xf>
    <xf fontId="35" fillId="39" borderId="0" numFmtId="49" xfId="0" applyNumberFormat="1" applyFont="1" applyFill="1" applyAlignment="1">
      <alignment horizontal="center" vertical="center" wrapText="1"/>
    </xf>
    <xf fontId="35" fillId="39" borderId="45" numFmtId="49" xfId="0" applyNumberFormat="1" applyFont="1" applyFill="1" applyBorder="1" applyAlignment="1">
      <alignment horizontal="center" vertical="center" wrapText="1"/>
    </xf>
    <xf fontId="35" fillId="0" borderId="23" numFmtId="0" xfId="0" applyFont="1" applyBorder="1" applyAlignment="1">
      <alignment horizontal="center" vertical="center"/>
    </xf>
    <xf fontId="0" fillId="0" borderId="23" numFmtId="0" xfId="0" applyBorder="1" applyAlignment="1">
      <alignment horizontal="center" vertical="center"/>
    </xf>
    <xf fontId="0" fillId="0" borderId="23" numFmtId="49" xfId="0" applyNumberFormat="1" applyBorder="1" applyAlignment="1">
      <alignment horizontal="center" vertical="center"/>
    </xf>
    <xf fontId="0" fillId="0" borderId="23" numFmtId="49" xfId="0" applyNumberFormat="1" applyBorder="1" applyAlignment="1">
      <alignment horizontal="left" vertical="center"/>
    </xf>
    <xf fontId="0" fillId="0" borderId="0" numFmtId="49" xfId="0" applyNumberFormat="1" applyAlignment="1">
      <alignment vertical="center"/>
    </xf>
    <xf fontId="0" fillId="0" borderId="23" numFmtId="0" xfId="0" applyBorder="1" applyAlignment="1">
      <alignment horizontal="center" vertical="top"/>
    </xf>
    <xf fontId="26" fillId="0" borderId="23" numFmtId="0" xfId="0" applyFont="1" applyBorder="1" applyAlignment="1">
      <alignment horizontal="left" vertical="top" wrapText="1"/>
    </xf>
    <xf fontId="26" fillId="40" borderId="32" numFmtId="0" xfId="0" applyFont="1" applyFill="1" applyBorder="1" applyAlignment="1">
      <alignment horizontal="center" vertical="top" wrapText="1"/>
    </xf>
    <xf fontId="0" fillId="0" borderId="33" numFmtId="0" xfId="0" applyBorder="1" applyAlignment="1">
      <alignment horizontal="center" vertical="center"/>
    </xf>
    <xf fontId="0" fillId="0" borderId="26" numFmtId="0" xfId="0" applyBorder="1" applyAlignment="1">
      <alignment horizontal="center" vertical="center"/>
    </xf>
    <xf fontId="26" fillId="0" borderId="26" numFmtId="49" xfId="0" applyNumberFormat="1" applyFont="1" applyBorder="1" applyAlignment="1">
      <alignment horizontal="left" vertical="center" wrapText="1"/>
    </xf>
    <xf fontId="26" fillId="0" borderId="26" numFmtId="49" xfId="0" applyNumberFormat="1" applyFont="1" applyBorder="1" applyAlignment="1">
      <alignment horizontal="center" vertical="center" wrapText="1"/>
    </xf>
    <xf fontId="0" fillId="0" borderId="26" numFmtId="0" xfId="0" applyBorder="1" applyAlignment="1">
      <alignment horizontal="left" vertical="center" wrapText="1"/>
    </xf>
    <xf fontId="0" fillId="0" borderId="26" numFmtId="49" xfId="0" applyNumberFormat="1" applyBorder="1" applyAlignment="1">
      <alignment horizontal="left" vertical="center" wrapText="1"/>
    </xf>
    <xf fontId="26" fillId="0" borderId="27" numFmtId="49" xfId="0" applyNumberFormat="1" applyFont="1" applyBorder="1" applyAlignment="1">
      <alignment horizontal="left" vertical="center" wrapText="1"/>
    </xf>
    <xf fontId="26" fillId="0" borderId="0" numFmtId="0" xfId="0" applyFont="1" applyAlignment="1">
      <alignment horizontal="left" indent="1" vertical="center"/>
    </xf>
    <xf fontId="26" fillId="40" borderId="42" numFmtId="0" xfId="0" applyFont="1" applyFill="1" applyBorder="1" applyAlignment="1">
      <alignment horizontal="center" vertical="top" wrapText="1"/>
    </xf>
    <xf fontId="0" fillId="0" borderId="28" numFmtId="0" xfId="0" applyBorder="1" applyAlignment="1">
      <alignment horizontal="center" vertical="center"/>
    </xf>
    <xf fontId="0" fillId="0" borderId="0" numFmtId="0" xfId="0" applyAlignment="1">
      <alignment horizontal="center" vertical="center"/>
    </xf>
    <xf fontId="26" fillId="0" borderId="0" numFmtId="49" xfId="0" applyNumberFormat="1" applyFont="1" applyAlignment="1">
      <alignment horizontal="left" vertical="center" wrapText="1"/>
    </xf>
    <xf fontId="0" fillId="0" borderId="0" numFmtId="0" xfId="0" applyAlignment="1">
      <alignment horizontal="left" vertical="center" wrapText="1"/>
    </xf>
    <xf fontId="0" fillId="0" borderId="0" numFmtId="49" xfId="0" applyNumberFormat="1" applyAlignment="1">
      <alignment horizontal="left" vertical="center" wrapText="1"/>
    </xf>
    <xf fontId="61" fillId="0" borderId="0" numFmtId="0" xfId="0" applyFont="1" applyAlignment="1">
      <alignment horizontal="left" vertical="center"/>
    </xf>
    <xf fontId="61" fillId="0" borderId="29" numFmtId="0" xfId="0" applyFont="1" applyBorder="1" applyAlignment="1">
      <alignment horizontal="left" vertical="center"/>
    </xf>
    <xf fontId="0" fillId="0" borderId="0" numFmtId="49" xfId="0" applyNumberFormat="1" applyAlignment="1">
      <alignment horizontal="left" vertical="top"/>
    </xf>
    <xf fontId="0" fillId="0" borderId="23" numFmtId="49" xfId="0" applyNumberFormat="1" applyBorder="1" applyAlignment="1">
      <alignment vertical="top"/>
    </xf>
    <xf fontId="0" fillId="0" borderId="23" numFmtId="49" xfId="0" applyNumberFormat="1" applyBorder="1" applyAlignment="1">
      <alignment horizontal="left" vertical="top"/>
    </xf>
    <xf fontId="26" fillId="40" borderId="30" numFmtId="0" xfId="0" applyFont="1" applyFill="1" applyBorder="1" applyAlignment="1">
      <alignment horizontal="center" vertical="top" wrapText="1"/>
    </xf>
    <xf fontId="61" fillId="0" borderId="35" numFmtId="0" xfId="0" applyFont="1" applyBorder="1" applyAlignment="1">
      <alignment horizontal="left" vertical="center"/>
    </xf>
    <xf fontId="61" fillId="0" borderId="45" numFmtId="0" xfId="0" applyFont="1" applyBorder="1" applyAlignment="1">
      <alignment horizontal="left" vertical="center"/>
    </xf>
    <xf fontId="0" fillId="0" borderId="45" numFmtId="0" xfId="0" applyBorder="1" applyAlignment="1">
      <alignment vertical="center"/>
    </xf>
    <xf fontId="61" fillId="0" borderId="34" numFmtId="0" xfId="0" applyFont="1" applyBorder="1" applyAlignment="1">
      <alignment horizontal="left" vertical="center"/>
    </xf>
    <xf fontId="26" fillId="0" borderId="0" numFmtId="49" xfId="0" applyNumberFormat="1" applyFont="1" applyAlignment="1">
      <alignment horizontal="left" indent="1" vertical="center"/>
    </xf>
    <xf fontId="0" fillId="0" borderId="32" numFmtId="0" xfId="0" applyBorder="1" applyAlignment="1">
      <alignment horizontal="center" vertical="top"/>
    </xf>
    <xf fontId="26" fillId="0" borderId="32" numFmtId="0" xfId="0" applyFont="1" applyBorder="1" applyAlignment="1">
      <alignment horizontal="left" vertical="top" wrapText="1"/>
    </xf>
    <xf fontId="0" fillId="0" borderId="42" numFmtId="0" xfId="0" applyBorder="1" applyAlignment="1">
      <alignment horizontal="center" vertical="top"/>
    </xf>
    <xf fontId="26" fillId="0" borderId="42" numFmtId="0" xfId="0" applyFont="1" applyBorder="1" applyAlignment="1">
      <alignment horizontal="left" vertical="top" wrapText="1"/>
    </xf>
    <xf fontId="0" fillId="0" borderId="30" numFmtId="0" xfId="0" applyBorder="1" applyAlignment="1">
      <alignment horizontal="center" vertical="top"/>
    </xf>
    <xf fontId="26" fillId="0" borderId="30" numFmtId="0" xfId="0" applyFont="1" applyBorder="1" applyAlignment="1">
      <alignment horizontal="left" vertical="top" wrapText="1"/>
    </xf>
    <xf fontId="0" fillId="0" borderId="0" numFmtId="0" xfId="0" applyAlignment="1">
      <alignment horizontal="left" vertical="top" wrapText="1"/>
    </xf>
    <xf fontId="0" fillId="0" borderId="0" numFmtId="0" xfId="0" applyAlignment="1" quotePrefix="1">
      <alignment horizontal="left" indent="1" vertical="top" wrapText="1"/>
    </xf>
    <xf fontId="0" fillId="0" borderId="0" numFmtId="0" xfId="0" applyAlignment="1">
      <alignment horizontal="left" indent="1" vertical="top" wrapText="1"/>
    </xf>
    <xf fontId="0" fillId="0" borderId="0" numFmtId="0" xfId="0" applyAlignment="1">
      <alignment vertical="top" wrapText="1"/>
    </xf>
    <xf fontId="31" fillId="0" borderId="0" numFmtId="49" xfId="0" applyNumberFormat="1" applyFont="1" applyAlignment="1">
      <alignment vertical="top"/>
    </xf>
    <xf fontId="35" fillId="0" borderId="0" numFmtId="49" xfId="0" applyNumberFormat="1" applyFont="1" applyAlignment="1">
      <alignment horizontal="center" vertical="center"/>
    </xf>
    <xf fontId="33" fillId="0" borderId="0" numFmtId="49" xfId="0" applyNumberFormat="1" applyFont="1" applyAlignment="1">
      <alignment horizontal="center" vertical="center"/>
    </xf>
    <xf fontId="73" fillId="0" borderId="0" numFmtId="49" xfId="0" applyNumberFormat="1" applyFont="1" applyAlignment="1">
      <alignment vertical="top"/>
    </xf>
    <xf fontId="26" fillId="0" borderId="26" numFmtId="0" xfId="0" applyFont="1" applyBorder="1" applyAlignment="1">
      <alignment horizontal="left" indent="1" vertical="center" wrapText="1"/>
    </xf>
    <xf fontId="25" fillId="0" borderId="0" numFmtId="0" xfId="0" applyFont="1" applyAlignment="1">
      <alignment horizontal="left" indent="1" vertical="center" wrapText="1"/>
    </xf>
    <xf fontId="57" fillId="0" borderId="0" numFmtId="0" xfId="0" applyFont="1" applyAlignment="1">
      <alignment vertical="center"/>
    </xf>
    <xf fontId="74" fillId="0" borderId="0" numFmtId="0" xfId="0" applyFont="1" applyAlignment="1">
      <alignment vertical="center" wrapText="1"/>
    </xf>
    <xf fontId="75" fillId="0" borderId="0" numFmtId="0" xfId="0" applyFont="1" applyAlignment="1">
      <alignment vertical="center" wrapText="1"/>
    </xf>
    <xf fontId="26" fillId="0" borderId="45" numFmtId="0" xfId="0" applyFont="1" applyBorder="1" applyAlignment="1">
      <alignment horizontal="left" indent="1" vertical="center" wrapText="1"/>
    </xf>
    <xf fontId="26" fillId="0" borderId="33" numFmtId="0" xfId="0" applyFont="1" applyBorder="1" applyAlignment="1">
      <alignment horizontal="center" vertical="center" wrapText="1"/>
    </xf>
    <xf fontId="26" fillId="0" borderId="27" numFmtId="0" xfId="0" applyFont="1" applyBorder="1" applyAlignment="1">
      <alignment horizontal="center" vertical="center" wrapText="1"/>
    </xf>
    <xf fontId="26" fillId="0" borderId="42" numFmtId="0" xfId="0" applyFont="1" applyBorder="1" applyAlignment="1">
      <alignment horizontal="center" vertical="center" wrapText="1"/>
    </xf>
    <xf fontId="26" fillId="0" borderId="32" numFmtId="0" xfId="0" applyFont="1" applyBorder="1" applyAlignment="1">
      <alignment horizontal="center" vertical="center" wrapText="1"/>
    </xf>
    <xf fontId="26" fillId="0" borderId="28" numFmtId="0" xfId="0" applyFont="1" applyBorder="1" applyAlignment="1">
      <alignment horizontal="center" vertical="center" wrapText="1"/>
    </xf>
    <xf fontId="26" fillId="0" borderId="29" numFmtId="0" xfId="0" applyFont="1" applyBorder="1" applyAlignment="1">
      <alignment horizontal="center" vertical="center" wrapText="1"/>
    </xf>
    <xf fontId="26" fillId="0" borderId="35" numFmtId="0" xfId="0" applyFont="1" applyBorder="1" applyAlignment="1">
      <alignment horizontal="center" vertical="center" wrapText="1"/>
    </xf>
    <xf fontId="26" fillId="0" borderId="34" numFmtId="0" xfId="0" applyFont="1" applyBorder="1" applyAlignment="1">
      <alignment horizontal="center" vertical="center" wrapText="1"/>
    </xf>
    <xf fontId="26" fillId="0" borderId="23" numFmtId="49" xfId="0" applyNumberFormat="1" applyFont="1" applyBorder="1" applyAlignment="1">
      <alignment horizontal="center" vertical="center"/>
    </xf>
    <xf fontId="26" fillId="0" borderId="23" numFmtId="0" xfId="0" applyFont="1" applyBorder="1" applyAlignment="1">
      <alignment horizontal="left" vertical="center" wrapText="1"/>
    </xf>
    <xf fontId="26" fillId="40" borderId="32" numFmtId="49" xfId="0" applyNumberFormat="1" applyFont="1" applyFill="1" applyBorder="1" applyAlignment="1">
      <alignment horizontal="center" vertical="center" wrapText="1"/>
    </xf>
    <xf fontId="26" fillId="0" borderId="33" numFmtId="49" xfId="0" applyNumberFormat="1" applyFont="1" applyBorder="1" applyAlignment="1">
      <alignment vertical="center" wrapText="1"/>
    </xf>
    <xf fontId="26" fillId="0" borderId="26" numFmtId="0" xfId="0" applyFont="1" applyBorder="1" applyAlignment="1">
      <alignment horizontal="center" vertical="center"/>
    </xf>
    <xf fontId="26" fillId="0" borderId="26" numFmtId="49" xfId="0" applyNumberFormat="1" applyFont="1" applyBorder="1" applyAlignment="1">
      <alignment vertical="center" wrapText="1"/>
    </xf>
    <xf fontId="52" fillId="0" borderId="26" numFmtId="49" xfId="0" applyNumberFormat="1" applyFont="1" applyBorder="1" applyAlignment="1">
      <alignment vertical="center" wrapText="1"/>
    </xf>
    <xf fontId="26" fillId="0" borderId="26" numFmtId="0" xfId="0" applyFont="1" applyBorder="1" applyAlignment="1">
      <alignment horizontal="left" vertical="center" wrapText="1"/>
    </xf>
    <xf fontId="26" fillId="40" borderId="42" numFmtId="49" xfId="0" applyNumberFormat="1" applyFont="1" applyFill="1" applyBorder="1" applyAlignment="1">
      <alignment horizontal="center" vertical="center" wrapText="1"/>
    </xf>
    <xf fontId="26" fillId="0" borderId="28" numFmtId="49" xfId="0" applyNumberFormat="1" applyFont="1" applyBorder="1" applyAlignment="1">
      <alignment vertical="center" wrapText="1"/>
    </xf>
    <xf fontId="26" fillId="0" borderId="0" numFmtId="0" xfId="0" applyFont="1" applyAlignment="1">
      <alignment horizontal="center" vertical="center"/>
    </xf>
    <xf fontId="26" fillId="0" borderId="0" numFmtId="0" xfId="0" applyFont="1" applyAlignment="1">
      <alignment horizontal="left" vertical="center" wrapText="1"/>
    </xf>
    <xf fontId="52" fillId="0" borderId="0" numFmtId="49" xfId="0" applyNumberFormat="1" applyFont="1" applyAlignment="1">
      <alignment vertical="center" wrapText="1"/>
    </xf>
    <xf fontId="52" fillId="0" borderId="0" numFmtId="49" xfId="0" applyNumberFormat="1" applyFont="1" applyAlignment="1">
      <alignment horizontal="center" vertical="center" wrapText="1"/>
    </xf>
    <xf fontId="61" fillId="0" borderId="0" numFmtId="0" xfId="0" applyFont="1" applyAlignment="1">
      <alignment vertical="center"/>
    </xf>
    <xf fontId="61" fillId="0" borderId="28" numFmtId="0" xfId="0" applyFont="1" applyBorder="1" applyAlignment="1">
      <alignment horizontal="left" vertical="center"/>
    </xf>
    <xf fontId="26" fillId="0" borderId="32" numFmtId="49" xfId="0" applyNumberFormat="1" applyFont="1" applyBorder="1" applyAlignment="1">
      <alignment horizontal="center" vertical="center"/>
    </xf>
    <xf fontId="26" fillId="0" borderId="32" numFmtId="0" xfId="0" applyFont="1" applyBorder="1" applyAlignment="1">
      <alignment horizontal="left" vertical="center" wrapText="1"/>
    </xf>
    <xf fontId="26" fillId="0" borderId="33" numFmtId="0" xfId="0" applyFont="1" applyBorder="1" applyAlignment="1">
      <alignment horizontal="left" vertical="center" wrapText="1"/>
    </xf>
    <xf fontId="73" fillId="0" borderId="35" numFmtId="49" xfId="0" applyNumberFormat="1" applyFont="1" applyBorder="1" applyAlignment="1">
      <alignment vertical="top"/>
    </xf>
    <xf fontId="73" fillId="0" borderId="45" numFmtId="49" xfId="0" applyNumberFormat="1" applyFont="1" applyBorder="1" applyAlignment="1">
      <alignment vertical="top"/>
    </xf>
    <xf fontId="26" fillId="0" borderId="21" numFmtId="0" xfId="0" applyFont="1" applyBorder="1" applyAlignment="1">
      <alignment horizontal="left" vertical="center" wrapText="1"/>
    </xf>
    <xf fontId="26" fillId="39" borderId="0" numFmtId="0" xfId="0" applyFont="1" applyFill="1"/>
    <xf fontId="35" fillId="39" borderId="0" numFmtId="0" xfId="0" applyFont="1" applyFill="1"/>
    <xf fontId="0" fillId="39" borderId="0" numFmtId="0" xfId="0" applyFill="1"/>
    <xf fontId="0" fillId="39" borderId="0" numFmtId="0" xfId="0" applyFill="1" applyAlignment="1">
      <alignment horizontal="center"/>
    </xf>
    <xf fontId="47" fillId="39" borderId="0" numFmtId="0" xfId="0" applyFont="1" applyFill="1"/>
    <xf fontId="47" fillId="39" borderId="0" numFmtId="0" xfId="0" applyFont="1" applyFill="1" applyAlignment="1">
      <alignment horizontal="center"/>
    </xf>
    <xf fontId="76" fillId="0" borderId="0" numFmtId="0" xfId="0" applyFont="1" applyAlignment="1">
      <alignment vertical="center"/>
    </xf>
    <xf fontId="77" fillId="0" borderId="0" numFmtId="0" xfId="0" applyFont="1" applyAlignment="1">
      <alignment vertical="center"/>
    </xf>
    <xf fontId="78" fillId="39" borderId="0" numFmtId="0" xfId="0" applyFont="1" applyFill="1" applyAlignment="1">
      <alignment horizontal="right" vertical="center"/>
    </xf>
    <xf fontId="35" fillId="39" borderId="0" numFmtId="0" xfId="0" applyFont="1" applyFill="1" applyAlignment="1">
      <alignment vertical="center" wrapText="1"/>
    </xf>
    <xf fontId="44" fillId="39" borderId="0" numFmtId="0" xfId="0" applyFont="1" applyFill="1" applyAlignment="1">
      <alignment horizontal="left" vertical="center" wrapText="1"/>
    </xf>
    <xf fontId="0" fillId="39" borderId="23" numFmtId="49" xfId="0" applyNumberFormat="1" applyFill="1" applyBorder="1" applyAlignment="1">
      <alignment horizontal="center" vertical="center" wrapText="1"/>
    </xf>
    <xf fontId="26" fillId="39" borderId="23" numFmtId="49" xfId="0" applyNumberFormat="1" applyFont="1" applyFill="1" applyBorder="1" applyAlignment="1">
      <alignment horizontal="center" vertical="center" wrapText="1"/>
    </xf>
    <xf fontId="0" fillId="39" borderId="23" numFmtId="0" xfId="0" applyFill="1" applyBorder="1" applyAlignment="1">
      <alignment horizontal="center" vertical="center" wrapText="1"/>
    </xf>
    <xf fontId="26" fillId="39" borderId="23" numFmtId="0" xfId="0" applyFont="1" applyFill="1" applyBorder="1" applyAlignment="1">
      <alignment horizontal="center" vertical="center" wrapText="1"/>
    </xf>
    <xf fontId="58" fillId="39" borderId="0" numFmtId="0" xfId="0" applyFont="1" applyFill="1" applyAlignment="1">
      <alignment horizontal="center" vertical="center"/>
    </xf>
    <xf fontId="35" fillId="0" borderId="23" numFmtId="49" xfId="0" applyNumberFormat="1" applyFont="1" applyBorder="1" applyAlignment="1">
      <alignment horizontal="center" vertical="center"/>
    </xf>
    <xf fontId="35" fillId="0" borderId="23" numFmtId="0" xfId="0" applyFont="1" applyBorder="1" applyAlignment="1">
      <alignment vertical="center" wrapText="1"/>
    </xf>
    <xf fontId="35" fillId="0" borderId="23" numFmtId="0" xfId="0" applyFont="1" applyBorder="1" applyAlignment="1">
      <alignment horizontal="left" vertical="center" wrapText="1"/>
    </xf>
    <xf fontId="79" fillId="39" borderId="0" numFmtId="0" xfId="0" applyFont="1" applyFill="1"/>
    <xf fontId="0" fillId="39" borderId="23" numFmtId="49" xfId="0" applyNumberFormat="1" applyFill="1" applyBorder="1" applyAlignment="1">
      <alignment horizontal="center" vertical="center"/>
    </xf>
    <xf fontId="0" fillId="39" borderId="23" numFmtId="0" xfId="0" applyFill="1" applyBorder="1" applyAlignment="1">
      <alignment vertical="center" wrapText="1"/>
    </xf>
    <xf fontId="26" fillId="39" borderId="23" numFmtId="0" xfId="0" applyFont="1" applyFill="1" applyBorder="1" applyAlignment="1">
      <alignment vertical="center" wrapText="1"/>
    </xf>
    <xf fontId="0" fillId="39" borderId="23" numFmtId="0" xfId="0" applyFill="1" applyBorder="1" applyAlignment="1">
      <alignment horizontal="left" indent="1" vertical="center" wrapText="1"/>
    </xf>
    <xf fontId="0" fillId="38" borderId="23" numFmtId="49" xfId="0" applyNumberFormat="1" applyFill="1" applyBorder="1" applyAlignment="1">
      <alignment horizontal="left" vertical="center" wrapText="1"/>
      <protection locked="0"/>
    </xf>
    <xf fontId="35" fillId="0" borderId="23" numFmtId="0" xfId="0" applyFont="1" applyBorder="1" applyAlignment="1">
      <alignment horizontal="left" indent="1" vertical="center" wrapText="1"/>
    </xf>
    <xf fontId="26" fillId="39" borderId="29" numFmtId="0" xfId="0" applyFont="1" applyFill="1" applyBorder="1" applyAlignment="1">
      <alignment horizontal="center" vertical="center" wrapText="1"/>
    </xf>
    <xf fontId="0" fillId="39" borderId="23" numFmtId="0" xfId="0" applyFill="1" applyBorder="1" applyAlignment="1">
      <alignment horizontal="center" vertical="center"/>
    </xf>
    <xf fontId="76" fillId="0" borderId="0" numFmtId="0" xfId="0" applyFont="1" applyAlignment="1">
      <alignment vertical="center" wrapText="1"/>
    </xf>
    <xf fontId="0" fillId="39" borderId="23" numFmtId="0" xfId="0" applyFill="1" applyBorder="1" applyAlignment="1">
      <alignment horizontal="left" indent="2" vertical="center" wrapText="1"/>
    </xf>
    <xf fontId="35" fillId="39" borderId="23" numFmtId="49" xfId="0" applyNumberFormat="1" applyFont="1" applyFill="1" applyBorder="1" applyAlignment="1">
      <alignment horizontal="center" vertical="center"/>
    </xf>
    <xf fontId="35" fillId="39" borderId="23" numFmtId="0" xfId="0" applyFont="1" applyFill="1" applyBorder="1" applyAlignment="1">
      <alignment vertical="center" wrapText="1"/>
    </xf>
    <xf fontId="35" fillId="39" borderId="23" numFmtId="0" xfId="0" applyFont="1" applyFill="1" applyBorder="1" applyAlignment="1">
      <alignment horizontal="left" indent="1" vertical="center" wrapText="1"/>
    </xf>
    <xf fontId="35" fillId="39" borderId="23" numFmtId="0" xfId="0" applyFont="1" applyFill="1" applyBorder="1" applyAlignment="1">
      <alignment horizontal="left" indent="2" vertical="center" wrapText="1"/>
    </xf>
    <xf fontId="35" fillId="0" borderId="23" numFmtId="49" xfId="0" applyNumberFormat="1" applyFont="1" applyBorder="1" applyAlignment="1">
      <alignment horizontal="left" vertical="center" wrapText="1"/>
    </xf>
    <xf fontId="0" fillId="39" borderId="23" numFmtId="0" xfId="0" applyFill="1" applyBorder="1" applyAlignment="1">
      <alignment horizontal="left" vertical="center" wrapText="1"/>
    </xf>
    <xf fontId="0" fillId="35" borderId="23" numFmtId="49" xfId="0" applyNumberFormat="1" applyFill="1" applyBorder="1" applyAlignment="1">
      <alignment horizontal="left" vertical="center" wrapText="1"/>
      <protection locked="0"/>
    </xf>
    <xf fontId="0" fillId="39" borderId="32" numFmtId="0" xfId="0" applyFill="1" applyBorder="1" applyAlignment="1">
      <alignment horizontal="left" vertical="center" wrapText="1"/>
    </xf>
    <xf fontId="26" fillId="39" borderId="32" numFmtId="0" xfId="0" applyFont="1" applyFill="1" applyBorder="1" applyAlignment="1">
      <alignment horizontal="left" vertical="top" wrapText="1"/>
    </xf>
    <xf fontId="0" fillId="0" borderId="23" numFmtId="49" xfId="0" applyNumberFormat="1" applyBorder="1" applyAlignment="1">
      <alignment horizontal="left" indent="1" vertical="center" wrapText="1"/>
    </xf>
    <xf fontId="0" fillId="0" borderId="23" numFmtId="49" xfId="0" applyNumberFormat="1" applyBorder="1" applyAlignment="1">
      <alignment horizontal="left" vertical="center" wrapText="1"/>
    </xf>
    <xf fontId="26" fillId="39" borderId="42" numFmtId="0" xfId="0" applyFont="1" applyFill="1" applyBorder="1" applyAlignment="1">
      <alignment horizontal="left" vertical="top" wrapText="1"/>
    </xf>
    <xf fontId="52" fillId="39" borderId="0" numFmtId="0" xfId="0" applyFont="1" applyFill="1" applyAlignment="1">
      <alignment horizontal="center" vertical="center" wrapText="1"/>
    </xf>
    <xf fontId="0" fillId="38" borderId="23" numFmtId="49" xfId="0" applyNumberFormat="1" applyFill="1" applyBorder="1" applyAlignment="1">
      <alignment horizontal="left" indent="1" vertical="center" wrapText="1"/>
      <protection locked="0"/>
    </xf>
    <xf fontId="26" fillId="38" borderId="21" numFmtId="49" xfId="0" applyNumberFormat="1" applyFont="1" applyFill="1" applyBorder="1" applyAlignment="1">
      <alignment horizontal="left" vertical="center" wrapText="1"/>
      <protection locked="0"/>
    </xf>
    <xf fontId="26" fillId="41" borderId="21" numFmtId="0" xfId="0" applyFont="1" applyFill="1" applyBorder="1" applyAlignment="1">
      <alignment horizontal="center"/>
    </xf>
    <xf fontId="78" fillId="41" borderId="20" numFmtId="0" xfId="0" applyFont="1" applyFill="1" applyBorder="1" applyAlignment="1">
      <alignment horizontal="left" vertical="center"/>
    </xf>
    <xf fontId="26" fillId="39" borderId="30" numFmtId="0" xfId="0" applyFont="1" applyFill="1" applyBorder="1" applyAlignment="1">
      <alignment horizontal="left" vertical="top" wrapText="1"/>
    </xf>
    <xf fontId="80" fillId="39" borderId="0" numFmtId="0" xfId="0" applyFont="1" applyFill="1"/>
    <xf fontId="26" fillId="38" borderId="23" numFmtId="49" xfId="0" applyNumberFormat="1" applyFont="1" applyFill="1" applyBorder="1" applyAlignment="1" quotePrefix="1">
      <alignment horizontal="left" vertical="center" wrapText="1"/>
      <protection locked="0"/>
    </xf>
    <xf fontId="26" fillId="35" borderId="23" numFmtId="49" xfId="0" applyNumberFormat="1" applyFont="1" applyFill="1" applyBorder="1" applyAlignment="1">
      <alignment horizontal="left" vertical="center" wrapText="1"/>
      <protection locked="0"/>
    </xf>
    <xf fontId="26" fillId="40" borderId="23" numFmtId="49" xfId="0" applyNumberFormat="1" applyFont="1" applyFill="1" applyBorder="1" applyAlignment="1">
      <alignment horizontal="left" vertical="center" wrapText="1"/>
    </xf>
    <xf fontId="26" fillId="39" borderId="0" numFmtId="49" xfId="0" applyNumberFormat="1" applyFont="1" applyFill="1" applyAlignment="1">
      <alignment horizontal="center" vertical="center" wrapText="1"/>
    </xf>
    <xf fontId="26" fillId="39" borderId="29" numFmtId="0" xfId="0" applyFont="1" applyFill="1" applyBorder="1" applyAlignment="1">
      <alignment vertical="center" wrapText="1"/>
    </xf>
    <xf fontId="0" fillId="39" borderId="21" numFmtId="0" xfId="0" applyFill="1" applyBorder="1" applyAlignment="1">
      <alignment horizontal="left" indent="1" vertical="center" wrapText="1"/>
    </xf>
    <xf fontId="26" fillId="40" borderId="21" numFmtId="49" xfId="0" applyNumberFormat="1" applyFont="1" applyFill="1" applyBorder="1" applyAlignment="1">
      <alignment horizontal="left" vertical="center" wrapText="1"/>
    </xf>
    <xf fontId="0" fillId="39" borderId="23" numFmtId="0" xfId="0" applyFill="1" applyBorder="1" applyAlignment="1">
      <alignment vertical="top" wrapText="1"/>
    </xf>
    <xf fontId="78" fillId="41" borderId="25" numFmtId="0" xfId="0" applyFont="1" applyFill="1" applyBorder="1" applyAlignment="1">
      <alignment horizontal="left" vertical="center"/>
    </xf>
    <xf fontId="0" fillId="39" borderId="21" numFmtId="0" xfId="0" applyFill="1" applyBorder="1" applyAlignment="1">
      <alignment horizontal="left" vertical="center" wrapText="1"/>
    </xf>
    <xf fontId="0" fillId="39" borderId="30" numFmtId="0" xfId="0" applyFill="1" applyBorder="1" applyAlignment="1">
      <alignment vertical="center" wrapText="1"/>
    </xf>
    <xf fontId="81" fillId="39" borderId="0" numFmtId="0" xfId="0" applyFont="1" applyFill="1"/>
    <xf fontId="26" fillId="0" borderId="0" numFmtId="0" xfId="0" applyFont="1" applyAlignment="1">
      <alignment vertical="top" wrapText="1"/>
    </xf>
    <xf fontId="62" fillId="0" borderId="0" numFmtId="0" xfId="0" applyFont="1" applyAlignment="1">
      <alignment horizontal="right" vertical="top" wrapText="1"/>
    </xf>
    <xf fontId="62" fillId="0" borderId="0" numFmtId="0" xfId="0" applyFont="1" applyAlignment="1">
      <alignment horizontal="left" indent="1" vertical="top" wrapText="1"/>
    </xf>
    <xf fontId="69" fillId="39" borderId="0" numFmtId="0" xfId="0" applyFont="1" applyFill="1" applyAlignment="1">
      <alignment horizontal="center"/>
    </xf>
    <xf fontId="69" fillId="39" borderId="0" numFmtId="0" xfId="0" applyFont="1" applyFill="1"/>
    <xf fontId="82" fillId="39" borderId="0" numFmtId="0" xfId="0" applyFont="1" applyFill="1" applyAlignment="1">
      <alignment horizontal="right" vertical="center"/>
    </xf>
    <xf fontId="83" fillId="39" borderId="0" numFmtId="0" xfId="0" applyFont="1" applyFill="1" applyAlignment="1">
      <alignment vertical="center"/>
    </xf>
    <xf fontId="82" fillId="39" borderId="0" numFmtId="0" xfId="0" applyFont="1" applyFill="1" applyAlignment="1">
      <alignment horizontal="right" vertical="top"/>
    </xf>
    <xf fontId="83" fillId="39" borderId="0" numFmtId="0" xfId="0" applyFont="1" applyFill="1" applyAlignment="1">
      <alignment vertical="center" wrapText="1"/>
    </xf>
    <xf fontId="39" fillId="39" borderId="0" numFmtId="0" xfId="0" applyFont="1" applyFill="1" applyAlignment="1">
      <alignment horizontal="center" vertical="center" wrapText="1"/>
    </xf>
    <xf fontId="39" fillId="39" borderId="0" numFmtId="0" xfId="0" applyFont="1" applyFill="1" applyAlignment="1">
      <alignment horizontal="right" vertical="center" wrapText="1"/>
    </xf>
    <xf fontId="25" fillId="0" borderId="0" numFmtId="0" xfId="0" applyFont="1" applyAlignment="1">
      <alignment horizontal="left" indent="3" vertical="center" wrapText="1"/>
    </xf>
    <xf fontId="72" fillId="0" borderId="0" numFmtId="0" xfId="0" applyFont="1" applyAlignment="1">
      <alignment horizontal="center" vertical="center" wrapText="1"/>
    </xf>
    <xf fontId="26" fillId="0" borderId="34" numFmtId="0" xfId="0" applyFont="1" applyBorder="1" applyAlignment="1">
      <alignment horizontal="left" indent="1" vertical="center" wrapText="1"/>
    </xf>
    <xf fontId="26" fillId="0" borderId="30" numFmtId="0" xfId="0" applyFont="1" applyBorder="1" applyAlignment="1">
      <alignment horizontal="left" indent="1" vertical="center" wrapText="1"/>
    </xf>
    <xf fontId="26" fillId="0" borderId="35" numFmtId="0" xfId="0" applyFont="1" applyBorder="1" applyAlignment="1">
      <alignment horizontal="left" indent="1" vertical="center" wrapText="1"/>
    </xf>
    <xf fontId="37" fillId="0" borderId="0" numFmtId="0" xfId="0" applyFont="1" applyAlignment="1">
      <alignment vertical="center" wrapText="1"/>
    </xf>
    <xf fontId="84" fillId="39" borderId="0" numFmtId="0" xfId="0" applyFont="1" applyFill="1" applyAlignment="1">
      <alignment horizontal="center" vertical="center" wrapText="1"/>
    </xf>
    <xf fontId="36" fillId="0" borderId="0" numFmtId="0" xfId="0" applyFont="1" applyAlignment="1">
      <alignment horizontal="left" indent="1" vertical="center" wrapText="1"/>
    </xf>
    <xf fontId="26" fillId="0" borderId="0" numFmtId="0" xfId="0" applyFont="1" applyAlignment="1">
      <alignment horizontal="right" vertical="center"/>
    </xf>
    <xf fontId="0" fillId="0" borderId="21" numFmtId="0" xfId="0" applyBorder="1" applyAlignment="1">
      <alignment horizontal="center" vertical="center" wrapText="1"/>
    </xf>
    <xf fontId="0" fillId="0" borderId="25" numFmtId="0" xfId="0" applyBorder="1" applyAlignment="1">
      <alignment horizontal="center" vertical="center" wrapText="1"/>
    </xf>
    <xf fontId="0" fillId="0" borderId="20" numFmtId="0" xfId="0" applyBorder="1" applyAlignment="1">
      <alignment horizontal="center" vertical="center" wrapText="1"/>
    </xf>
    <xf fontId="0" fillId="0" borderId="32" numFmtId="0" xfId="0" applyBorder="1" applyAlignment="1">
      <alignment horizontal="center" vertical="center" wrapText="1"/>
    </xf>
    <xf fontId="0" fillId="0" borderId="33" numFmtId="0" xfId="0" applyBorder="1" applyAlignment="1">
      <alignment horizontal="center" vertical="center" wrapText="1"/>
    </xf>
    <xf fontId="0" fillId="0" borderId="27" numFmtId="0" xfId="0" applyBorder="1" applyAlignment="1">
      <alignment horizontal="center" vertical="center" wrapText="1"/>
    </xf>
    <xf fontId="0" fillId="0" borderId="30" numFmtId="0" xfId="0" applyBorder="1" applyAlignment="1">
      <alignment horizontal="center" vertical="center" wrapText="1"/>
    </xf>
    <xf fontId="0" fillId="0" borderId="35" numFmtId="0" xfId="0" applyBorder="1" applyAlignment="1">
      <alignment horizontal="center" vertical="center" wrapText="1"/>
    </xf>
    <xf fontId="0" fillId="0" borderId="34" numFmtId="0" xfId="0" applyBorder="1" applyAlignment="1">
      <alignment horizontal="center" vertical="center" wrapText="1"/>
    </xf>
    <xf fontId="58" fillId="39" borderId="0" numFmtId="0" xfId="0" applyFont="1" applyFill="1" applyAlignment="1">
      <alignment horizontal="center" vertical="center" wrapText="1"/>
    </xf>
    <xf fontId="58" fillId="39" borderId="0" numFmtId="49" xfId="0" applyNumberFormat="1" applyFont="1" applyFill="1" applyAlignment="1">
      <alignment horizontal="center" vertical="center" wrapText="1"/>
    </xf>
    <xf fontId="85" fillId="39" borderId="0" numFmtId="0" xfId="0" applyFont="1" applyFill="1" applyAlignment="1">
      <alignment horizontal="center" vertical="center" wrapText="1"/>
    </xf>
    <xf fontId="54" fillId="0" borderId="32" numFmtId="49" xfId="0" applyNumberFormat="1" applyFont="1" applyBorder="1" applyAlignment="1">
      <alignment horizontal="left" vertical="center" wrapText="1"/>
    </xf>
    <xf fontId="54" fillId="0" borderId="23" numFmtId="49" xfId="0" applyNumberFormat="1" applyFont="1" applyBorder="1" applyAlignment="1">
      <alignment horizontal="left" vertical="center" wrapText="1"/>
    </xf>
    <xf fontId="0" fillId="0" borderId="23" numFmtId="49" xfId="0" applyNumberFormat="1" applyBorder="1" applyAlignment="1">
      <alignment vertical="top" wrapText="1"/>
    </xf>
    <xf fontId="0" fillId="0" borderId="23" numFmtId="49" xfId="0" applyNumberFormat="1" applyBorder="1" applyAlignment="1">
      <alignment horizontal="center" vertical="center" wrapText="1"/>
    </xf>
    <xf fontId="26" fillId="40" borderId="21" numFmtId="0" xfId="0" applyFont="1" applyFill="1" applyBorder="1" applyAlignment="1">
      <alignment horizontal="left" vertical="center" wrapText="1"/>
    </xf>
    <xf fontId="58" fillId="39" borderId="23" numFmtId="49" xfId="0" applyNumberFormat="1" applyFont="1" applyFill="1" applyBorder="1" applyAlignment="1">
      <alignment horizontal="center" vertical="center" wrapText="1"/>
    </xf>
    <xf fontId="0" fillId="38" borderId="23" numFmtId="4" xfId="0" applyNumberFormat="1" applyFill="1" applyBorder="1" applyAlignment="1">
      <alignment horizontal="right" vertical="center" wrapText="1"/>
      <protection locked="0"/>
    </xf>
    <xf fontId="0" fillId="38" borderId="23" numFmtId="3" xfId="0" applyNumberFormat="1" applyFill="1" applyBorder="1" applyAlignment="1">
      <alignment horizontal="right" vertical="center" wrapText="1"/>
      <protection locked="0"/>
    </xf>
    <xf fontId="0" fillId="38" borderId="20" numFmtId="4" xfId="0" applyNumberFormat="1" applyFill="1" applyBorder="1" applyAlignment="1">
      <alignment horizontal="right" vertical="center" wrapText="1"/>
      <protection locked="0"/>
    </xf>
    <xf fontId="0" fillId="35" borderId="23" numFmtId="0" xfId="0" applyFill="1" applyBorder="1" applyAlignment="1">
      <alignment horizontal="right" vertical="center" wrapText="1"/>
      <protection locked="0"/>
    </xf>
    <xf fontId="0" fillId="0" borderId="20" numFmtId="3" xfId="0" applyNumberFormat="1" applyBorder="1" applyAlignment="1">
      <alignment horizontal="right" vertical="center" wrapText="1"/>
    </xf>
    <xf fontId="0" fillId="0" borderId="32" numFmtId="0" xfId="0" applyBorder="1" applyAlignment="1">
      <alignment horizontal="left" vertical="top" wrapText="1"/>
    </xf>
    <xf fontId="41" fillId="41" borderId="21" numFmtId="49" xfId="0" applyNumberFormat="1" applyFont="1" applyFill="1" applyBorder="1" applyAlignment="1">
      <alignment horizontal="center" vertical="center"/>
    </xf>
    <xf fontId="61" fillId="41" borderId="25" numFmtId="0" xfId="0" applyFont="1" applyFill="1" applyBorder="1" applyAlignment="1">
      <alignment vertical="center"/>
    </xf>
    <xf fontId="61" fillId="41" borderId="25" numFmtId="49" xfId="0" applyNumberFormat="1" applyFont="1" applyFill="1" applyBorder="1" applyAlignment="1">
      <alignment vertical="center"/>
    </xf>
    <xf fontId="78" fillId="41" borderId="25" numFmtId="49" xfId="0" applyNumberFormat="1" applyFont="1" applyFill="1" applyBorder="1" applyAlignment="1">
      <alignment vertical="center"/>
    </xf>
    <xf fontId="78" fillId="41" borderId="20" numFmtId="49" xfId="0" applyNumberFormat="1" applyFont="1" applyFill="1" applyBorder="1" applyAlignment="1">
      <alignment vertical="center"/>
    </xf>
    <xf fontId="0" fillId="0" borderId="30" numFmtId="0" xfId="0" applyBorder="1" applyAlignment="1">
      <alignment horizontal="left" vertical="top" wrapText="1"/>
    </xf>
    <xf fontId="0" fillId="0" borderId="33" numFmtId="49" xfId="0" applyNumberFormat="1" applyBorder="1" applyAlignment="1">
      <alignment horizontal="center" vertical="center" wrapText="1"/>
    </xf>
    <xf fontId="26" fillId="40" borderId="26" numFmtId="0" xfId="0" applyFont="1" applyFill="1" applyBorder="1" applyAlignment="1">
      <alignment horizontal="left" vertical="center" wrapText="1"/>
    </xf>
    <xf fontId="52" fillId="39" borderId="23" numFmtId="0" xfId="0" applyFont="1" applyFill="1" applyBorder="1" applyAlignment="1">
      <alignment horizontal="center" vertical="center" wrapText="1"/>
    </xf>
    <xf fontId="26" fillId="38" borderId="23" numFmtId="49" xfId="0" applyNumberFormat="1" applyFont="1" applyFill="1" applyBorder="1" applyAlignment="1">
      <alignment horizontal="left" vertical="center" wrapText="1"/>
      <protection locked="0"/>
    </xf>
    <xf fontId="26" fillId="38" borderId="23" numFmtId="3" xfId="0" applyNumberFormat="1" applyFont="1" applyFill="1" applyBorder="1" applyAlignment="1">
      <alignment horizontal="right" vertical="center" wrapText="1"/>
      <protection locked="0"/>
    </xf>
    <xf fontId="0" fillId="0" borderId="35" numFmtId="49" xfId="0" applyNumberFormat="1" applyBorder="1" applyAlignment="1">
      <alignment horizontal="center" vertical="center" wrapText="1"/>
    </xf>
    <xf fontId="26" fillId="40" borderId="45" numFmtId="0" xfId="0" applyFont="1" applyFill="1" applyBorder="1" applyAlignment="1">
      <alignment horizontal="left" vertical="center" wrapText="1"/>
    </xf>
    <xf fontId="26" fillId="0" borderId="26" numFmtId="0" xfId="0" applyFont="1" applyBorder="1" applyAlignment="1">
      <alignment horizontal="left" indent="1" vertical="top" wrapText="1"/>
    </xf>
    <xf fontId="36" fillId="39" borderId="0" numFmtId="0" xfId="0" applyFont="1" applyFill="1" applyAlignment="1">
      <alignment horizontal="right" vertical="center"/>
    </xf>
    <xf fontId="36" fillId="39" borderId="0" numFmtId="0" xfId="0" applyFont="1" applyFill="1" applyAlignment="1">
      <alignment horizontal="right" vertical="center" wrapText="1"/>
    </xf>
    <xf fontId="25" fillId="0" borderId="0" numFmtId="0" xfId="0" applyFont="1" applyAlignment="1">
      <alignment horizontal="center" vertical="center" wrapText="1"/>
    </xf>
    <xf fontId="36" fillId="0" borderId="0" numFmtId="4" xfId="0" applyNumberFormat="1" applyFont="1" applyAlignment="1">
      <alignment horizontal="right" vertical="center" wrapText="1"/>
    </xf>
    <xf fontId="58" fillId="39" borderId="25" numFmtId="49" xfId="0" applyNumberFormat="1" applyFont="1" applyFill="1" applyBorder="1" applyAlignment="1">
      <alignment horizontal="center" vertical="center" wrapText="1"/>
    </xf>
    <xf fontId="26" fillId="0" borderId="23" numFmtId="49" xfId="0" applyNumberFormat="1" applyFont="1" applyBorder="1" applyAlignment="1">
      <alignment horizontal="left" vertical="center" wrapText="1"/>
    </xf>
    <xf fontId="52" fillId="39" borderId="29" numFmtId="0" xfId="0" applyFont="1" applyFill="1" applyBorder="1" applyAlignment="1">
      <alignment vertical="top" wrapText="1"/>
    </xf>
    <xf fontId="26" fillId="41" borderId="25" numFmtId="14" xfId="0" applyNumberFormat="1" applyFont="1" applyFill="1" applyBorder="1" applyAlignment="1">
      <alignment horizontal="center" vertical="center" wrapText="1"/>
    </xf>
    <xf fontId="71" fillId="41" borderId="25" numFmtId="14" xfId="0" applyNumberFormat="1" applyFont="1" applyFill="1" applyBorder="1" applyAlignment="1">
      <alignment horizontal="center" vertical="center" wrapText="1"/>
    </xf>
    <xf fontId="45" fillId="41" borderId="20" numFmtId="49" xfId="0" applyNumberFormat="1" applyFont="1" applyFill="1" applyBorder="1" applyAlignment="1">
      <alignment horizontal="left" vertical="center" wrapText="1"/>
    </xf>
    <xf fontId="0" fillId="0" borderId="42" numFmtId="0" xfId="0" applyBorder="1" applyAlignment="1">
      <alignment horizontal="left" vertical="top" wrapText="1"/>
    </xf>
    <xf fontId="35" fillId="0" borderId="0" numFmtId="0" xfId="0" applyFont="1" applyAlignment="1">
      <alignment horizontal="left" vertical="center" wrapText="1"/>
    </xf>
    <xf fontId="35" fillId="0" borderId="0" numFmtId="49" xfId="0" applyNumberFormat="1" applyFont="1" applyAlignment="1">
      <alignment horizontal="left" vertical="center" wrapText="1"/>
    </xf>
    <xf fontId="52" fillId="39" borderId="0" numFmtId="0" xfId="0" applyFont="1" applyFill="1" applyAlignment="1">
      <alignment vertical="top" wrapText="1"/>
    </xf>
    <xf fontId="35" fillId="39" borderId="30" numFmtId="0" xfId="0" applyFont="1" applyFill="1" applyBorder="1" applyAlignment="1">
      <alignment horizontal="center" vertical="center" wrapText="1"/>
    </xf>
    <xf fontId="26" fillId="40" borderId="30" numFmtId="14" xfId="0" applyNumberFormat="1" applyFont="1" applyFill="1" applyBorder="1" applyAlignment="1">
      <alignment horizontal="left" vertical="center" wrapText="1"/>
    </xf>
    <xf fontId="26" fillId="40" borderId="23" numFmtId="14" xfId="0" applyNumberFormat="1" applyFont="1" applyFill="1" applyBorder="1" applyAlignment="1">
      <alignment horizontal="center" vertical="center" wrapText="1"/>
    </xf>
    <xf fontId="45" fillId="38" borderId="23" numFmtId="49" xfId="0" applyNumberFormat="1" applyFont="1" applyFill="1" applyBorder="1" applyAlignment="1">
      <alignment horizontal="left" vertical="center" wrapText="1"/>
      <protection locked="0"/>
    </xf>
    <xf fontId="41" fillId="41" borderId="25" numFmtId="49" xfId="0" applyNumberFormat="1" applyFont="1" applyFill="1" applyBorder="1" applyAlignment="1">
      <alignment horizontal="center" vertical="center"/>
    </xf>
    <xf fontId="78" fillId="41" borderId="25" numFmtId="49" xfId="0" applyNumberFormat="1" applyFont="1" applyFill="1" applyBorder="1" applyAlignment="1">
      <alignment horizontal="left" indent="1" vertical="center"/>
    </xf>
    <xf fontId="78" fillId="41" borderId="20" numFmtId="49" xfId="0" applyNumberFormat="1" applyFont="1" applyFill="1" applyBorder="1" applyAlignment="1">
      <alignment horizontal="left" indent="1" vertical="center"/>
    </xf>
    <xf fontId="84" fillId="0" borderId="0" numFmtId="0" xfId="0" applyFont="1" applyAlignment="1">
      <alignment horizontal="center" vertical="center" wrapText="1"/>
    </xf>
    <xf fontId="62" fillId="0" borderId="0" numFmtId="0" xfId="0" applyFont="1" applyAlignment="1">
      <alignment vertical="top" wrapText="1"/>
    </xf>
    <xf fontId="26" fillId="0" borderId="0" numFmtId="0" xfId="0" applyFont="1" applyAlignment="1">
      <alignment horizontal="right" vertical="top" wrapText="1"/>
    </xf>
    <xf fontId="62" fillId="0" borderId="0" numFmtId="0" xfId="0" applyFont="1" applyAlignment="1">
      <alignment vertical="top"/>
    </xf>
    <xf fontId="86" fillId="0" borderId="0" numFmtId="0" xfId="0" applyFont="1" applyAlignment="1">
      <alignment vertical="center" wrapText="1"/>
    </xf>
    <xf fontId="33" fillId="0" borderId="0" numFmtId="0" xfId="0" applyFont="1" applyAlignment="1">
      <alignment horizontal="left" indent="1" vertical="center"/>
    </xf>
    <xf fontId="33" fillId="0" borderId="23" numFmtId="0" xfId="0" applyFont="1" applyBorder="1" applyAlignment="1">
      <alignment horizontal="center" vertical="center"/>
    </xf>
    <xf fontId="33" fillId="0" borderId="0" numFmtId="0" xfId="0" applyFont="1" applyAlignment="1">
      <alignment horizontal="center" vertical="center"/>
    </xf>
    <xf fontId="33" fillId="0" borderId="0" numFmtId="0" xfId="0" applyFont="1" applyAlignment="1">
      <alignment horizontal="left" vertical="center" wrapText="1"/>
    </xf>
    <xf fontId="26" fillId="0" borderId="29" numFmtId="49" xfId="0" applyNumberFormat="1" applyFont="1" applyBorder="1" applyAlignment="1">
      <alignment vertical="top"/>
    </xf>
    <xf fontId="26" fillId="39" borderId="23" numFmtId="0" xfId="0" applyFont="1" applyFill="1" applyBorder="1" applyAlignment="1">
      <alignment horizontal="left" vertical="center" wrapText="1"/>
    </xf>
    <xf fontId="26" fillId="0" borderId="23" numFmtId="0" xfId="0" applyFont="1" applyBorder="1" applyAlignment="1">
      <alignment vertical="center" wrapText="1"/>
    </xf>
    <xf fontId="26" fillId="0" borderId="23" numFmtId="0" xfId="0" applyFont="1" applyBorder="1" applyAlignment="1">
      <alignment horizontal="left" indent="6" vertical="center" wrapText="1"/>
    </xf>
    <xf fontId="26" fillId="37" borderId="21" numFmtId="0" xfId="0" applyFont="1" applyFill="1" applyBorder="1" applyAlignment="1">
      <alignment horizontal="left" vertical="center" wrapText="1"/>
    </xf>
    <xf fontId="26" fillId="37" borderId="25" numFmtId="0" xfId="0" applyFont="1" applyFill="1" applyBorder="1" applyAlignment="1">
      <alignment horizontal="left" vertical="center" wrapText="1"/>
    </xf>
    <xf fontId="26" fillId="37" borderId="20" numFmtId="0" xfId="0" applyFont="1" applyFill="1" applyBorder="1" applyAlignment="1">
      <alignment horizontal="left" vertical="center" wrapText="1"/>
    </xf>
    <xf fontId="62" fillId="0" borderId="23" numFmtId="0" xfId="0" applyFont="1" applyBorder="1" applyAlignment="1">
      <alignment vertical="top" wrapText="1"/>
    </xf>
    <xf fontId="33" fillId="0" borderId="21" numFmtId="0" xfId="0" applyFont="1" applyBorder="1" applyAlignment="1">
      <alignment horizontal="center" vertical="center"/>
    </xf>
    <xf fontId="57" fillId="39" borderId="0" numFmtId="0" xfId="0" applyFont="1" applyFill="1" applyAlignment="1">
      <alignment horizontal="center" vertical="center" wrapText="1"/>
    </xf>
    <xf fontId="26" fillId="0" borderId="29" numFmtId="0" xfId="0" applyFont="1" applyBorder="1" applyAlignment="1">
      <alignment vertical="center" wrapText="1"/>
    </xf>
    <xf fontId="26" fillId="39" borderId="23" numFmtId="0" xfId="0" applyFont="1" applyFill="1" applyBorder="1" applyAlignment="1">
      <alignment horizontal="left" indent="1" vertical="center" wrapText="1"/>
    </xf>
    <xf fontId="52" fillId="0" borderId="0" numFmtId="0" xfId="0" applyFont="1" applyAlignment="1">
      <alignment vertical="center" wrapText="1"/>
    </xf>
    <xf fontId="26" fillId="39" borderId="23" numFmtId="0" xfId="0" applyFont="1" applyFill="1" applyBorder="1" applyAlignment="1">
      <alignment horizontal="left" indent="2" vertical="center" wrapText="1"/>
    </xf>
    <xf fontId="26" fillId="39" borderId="23" numFmtId="0" xfId="0" applyFont="1" applyFill="1" applyBorder="1" applyAlignment="1">
      <alignment horizontal="left" indent="3" vertical="center" wrapText="1"/>
    </xf>
    <xf fontId="35" fillId="0" borderId="29" numFmtId="0" xfId="0" applyFont="1" applyBorder="1" applyAlignment="1">
      <alignment horizontal="center" vertical="center" wrapText="1"/>
    </xf>
    <xf fontId="26" fillId="39" borderId="23" numFmtId="0" xfId="0" applyFont="1" applyFill="1" applyBorder="1" applyAlignment="1">
      <alignment horizontal="left" indent="4" vertical="center" wrapText="1"/>
    </xf>
    <xf fontId="26" fillId="40" borderId="25" numFmtId="0" xfId="0" applyFont="1" applyFill="1" applyBorder="1" applyAlignment="1">
      <alignment horizontal="left" vertical="center" wrapText="1"/>
    </xf>
    <xf fontId="26" fillId="40" borderId="20" numFmtId="0" xfId="0" applyFont="1" applyFill="1" applyBorder="1" applyAlignment="1">
      <alignment horizontal="left" vertical="center" wrapText="1"/>
    </xf>
    <xf fontId="33" fillId="0" borderId="21" numFmtId="0" xfId="0" applyFont="1" applyBorder="1" applyAlignment="1">
      <alignment horizontal="center" vertical="center" wrapText="1"/>
    </xf>
    <xf fontId="35" fillId="0" borderId="29" numFmtId="0" xfId="0" applyFont="1" applyBorder="1" applyAlignment="1">
      <alignment vertical="center" wrapText="1"/>
    </xf>
    <xf fontId="26" fillId="39" borderId="23" numFmtId="0" xfId="0" applyFont="1" applyFill="1" applyBorder="1" applyAlignment="1">
      <alignment horizontal="left" indent="5" vertical="center" wrapText="1"/>
    </xf>
    <xf fontId="26" fillId="40" borderId="23" numFmtId="0" xfId="0" applyFont="1" applyFill="1" applyBorder="1" applyAlignment="1">
      <alignment horizontal="left" indent="6" vertical="center" wrapText="1"/>
    </xf>
    <xf fontId="26" fillId="35" borderId="23" numFmtId="4" xfId="0" applyNumberFormat="1" applyFont="1" applyFill="1" applyBorder="1" applyAlignment="1">
      <alignment horizontal="right" vertical="center" wrapText="1"/>
      <protection locked="0"/>
    </xf>
    <xf fontId="26" fillId="0" borderId="23" numFmtId="4" xfId="0" applyNumberFormat="1" applyFont="1" applyBorder="1" applyAlignment="1">
      <alignment horizontal="right" vertical="center" wrapText="1"/>
    </xf>
    <xf fontId="26" fillId="35" borderId="23" numFmtId="166" xfId="0" applyNumberFormat="1" applyFont="1" applyFill="1" applyBorder="1" applyAlignment="1">
      <alignment horizontal="right" vertical="center" wrapText="1"/>
      <protection locked="0"/>
    </xf>
    <xf fontId="0" fillId="38" borderId="23" numFmtId="164" xfId="0" applyNumberFormat="1" applyFill="1" applyBorder="1" applyAlignment="1">
      <alignment horizontal="center" vertical="center" wrapText="1"/>
      <protection locked="0"/>
    </xf>
    <xf fontId="62" fillId="0" borderId="32" numFmtId="0" xfId="0" applyFont="1" applyBorder="1" applyAlignment="1">
      <alignment horizontal="left" vertical="top" wrapText="1"/>
    </xf>
    <xf fontId="35" fillId="0" borderId="23" numFmtId="4" xfId="0" applyNumberFormat="1" applyFont="1" applyBorder="1" applyAlignment="1">
      <alignment horizontal="center" vertical="center" wrapText="1"/>
    </xf>
    <xf fontId="0" fillId="38" borderId="23" numFmtId="49" xfId="0" applyNumberFormat="1" applyFill="1" applyBorder="1" applyAlignment="1">
      <alignment horizontal="center" vertical="center" wrapText="1"/>
      <protection locked="0"/>
    </xf>
    <xf fontId="62" fillId="0" borderId="42" numFmtId="0" xfId="0" applyFont="1" applyBorder="1" applyAlignment="1">
      <alignment horizontal="left" vertical="top" wrapText="1"/>
    </xf>
    <xf fontId="78" fillId="41" borderId="21" numFmtId="49" xfId="0" applyNumberFormat="1" applyFont="1" applyFill="1" applyBorder="1" applyAlignment="1">
      <alignment horizontal="left" vertical="center"/>
    </xf>
    <xf fontId="61" fillId="41" borderId="25" numFmtId="49" xfId="0" applyNumberFormat="1" applyFont="1" applyFill="1" applyBorder="1" applyAlignment="1">
      <alignment horizontal="left" indent="6" vertical="center"/>
    </xf>
    <xf fontId="26" fillId="41" borderId="20" numFmtId="49" xfId="0" applyNumberFormat="1" applyFont="1" applyFill="1" applyBorder="1" applyAlignment="1">
      <alignment horizontal="center" vertical="center" wrapText="1"/>
    </xf>
    <xf fontId="62" fillId="0" borderId="30" numFmtId="0" xfId="0" applyFont="1" applyBorder="1" applyAlignment="1">
      <alignment horizontal="left" vertical="top" wrapText="1"/>
    </xf>
    <xf fontId="61" fillId="41" borderId="25" numFmtId="49" xfId="0" applyNumberFormat="1" applyFont="1" applyFill="1" applyBorder="1" applyAlignment="1">
      <alignment horizontal="left" indent="5" vertical="center"/>
    </xf>
    <xf fontId="0" fillId="41" borderId="25" numFmtId="49" xfId="0" applyNumberFormat="1" applyFill="1" applyBorder="1" applyAlignment="1">
      <alignment horizontal="center" vertical="center" wrapText="1"/>
    </xf>
    <xf fontId="0" fillId="41" borderId="20" numFmtId="49" xfId="0" applyNumberFormat="1" applyFill="1" applyBorder="1" applyAlignment="1">
      <alignment horizontal="center" vertical="center" wrapText="1"/>
    </xf>
    <xf fontId="86" fillId="0" borderId="0" numFmtId="49" xfId="0" applyNumberFormat="1" applyFont="1" applyAlignment="1">
      <alignment vertical="top"/>
    </xf>
    <xf fontId="61" fillId="41" borderId="25" numFmtId="49" xfId="0" applyNumberFormat="1" applyFont="1" applyFill="1" applyBorder="1" applyAlignment="1">
      <alignment horizontal="left" indent="4" vertical="center"/>
    </xf>
    <xf fontId="87" fillId="0" borderId="0" numFmtId="49" xfId="0" applyNumberFormat="1" applyFont="1" applyAlignment="1">
      <alignment vertical="top"/>
    </xf>
    <xf fontId="88" fillId="0" borderId="26" numFmtId="49" xfId="0" applyNumberFormat="1" applyFont="1" applyBorder="1" applyAlignment="1">
      <alignment horizontal="left" vertical="center"/>
    </xf>
    <xf fontId="35" fillId="0" borderId="26" numFmtId="49" xfId="0" applyNumberFormat="1" applyFont="1" applyBorder="1" applyAlignment="1">
      <alignment horizontal="left" indent="3" vertical="center"/>
    </xf>
    <xf fontId="35" fillId="0" borderId="26" numFmtId="49" xfId="0" applyNumberFormat="1" applyFont="1" applyBorder="1" applyAlignment="1">
      <alignment horizontal="center" vertical="center" wrapText="1"/>
    </xf>
    <xf fontId="35" fillId="0" borderId="0" numFmtId="49" xfId="0" applyNumberFormat="1" applyFont="1" applyAlignment="1">
      <alignment horizontal="left" vertical="center"/>
    </xf>
    <xf fontId="88" fillId="0" borderId="0" numFmtId="49" xfId="0" applyNumberFormat="1" applyFont="1" applyAlignment="1">
      <alignment horizontal="left" vertical="center"/>
    </xf>
    <xf fontId="35" fillId="0" borderId="0" numFmtId="49" xfId="0" applyNumberFormat="1" applyFont="1" applyAlignment="1">
      <alignment horizontal="left" indent="2" vertical="center"/>
    </xf>
    <xf fontId="35" fillId="0" borderId="0" numFmtId="49" xfId="0" applyNumberFormat="1" applyFont="1" applyAlignment="1">
      <alignment horizontal="center" vertical="center" wrapText="1"/>
    </xf>
    <xf fontId="35" fillId="0" borderId="0" numFmtId="49" xfId="0" applyNumberFormat="1" applyFont="1" applyAlignment="1">
      <alignment horizontal="left" indent="1" vertical="center"/>
    </xf>
    <xf fontId="33" fillId="0" borderId="23" numFmtId="4" xfId="0" applyNumberFormat="1" applyFont="1" applyBorder="1" applyAlignment="1">
      <alignment horizontal="right" vertical="center" wrapText="1"/>
    </xf>
    <xf fontId="33" fillId="0" borderId="23" numFmtId="166" xfId="0" applyNumberFormat="1" applyFont="1" applyBorder="1" applyAlignment="1">
      <alignment horizontal="right" vertical="center" wrapText="1"/>
    </xf>
    <xf fontId="33" fillId="0" borderId="23" numFmtId="164" xfId="0" applyNumberFormat="1" applyFont="1" applyBorder="1" applyAlignment="1">
      <alignment horizontal="center" vertical="center" wrapText="1"/>
    </xf>
    <xf fontId="33" fillId="0" borderId="23" numFmtId="49" xfId="0" applyNumberFormat="1" applyFont="1" applyBorder="1" applyAlignment="1">
      <alignment horizontal="center" vertical="center" wrapText="1"/>
    </xf>
    <xf fontId="33" fillId="0" borderId="23" numFmtId="49" xfId="0" applyNumberFormat="1" applyFont="1" applyBorder="1" applyAlignment="1">
      <alignment vertical="center" wrapText="1"/>
    </xf>
    <xf fontId="89" fillId="0" borderId="0" numFmtId="0" xfId="0" applyFont="1" applyAlignment="1">
      <alignment vertical="center" wrapText="1"/>
    </xf>
    <xf fontId="86" fillId="39" borderId="0" numFmtId="0" xfId="0" applyFont="1" applyFill="1" applyAlignment="1">
      <alignment vertical="center" wrapText="1"/>
    </xf>
    <xf fontId="26" fillId="39" borderId="0" numFmtId="0" xfId="0" applyFont="1" applyFill="1" applyAlignment="1">
      <alignment horizontal="left" vertical="center" wrapText="1"/>
    </xf>
    <xf fontId="41" fillId="39" borderId="0" numFmtId="0" xfId="0" applyFont="1" applyFill="1" applyAlignment="1">
      <alignment horizontal="center" vertical="center" wrapText="1"/>
    </xf>
    <xf fontId="0" fillId="39" borderId="23" numFmtId="0" xfId="0" applyFill="1" applyBorder="1" applyAlignment="1">
      <alignment horizontal="right" indent="1" vertical="center" wrapText="1"/>
    </xf>
    <xf fontId="0" fillId="0" borderId="25" numFmtId="0" xfId="0" applyBorder="1" applyAlignment="1">
      <alignment vertical="center"/>
    </xf>
    <xf fontId="26" fillId="37" borderId="23" numFmtId="0" xfId="0" applyFont="1" applyFill="1" applyBorder="1" applyAlignment="1">
      <alignment horizontal="left" indent="1" vertical="center" wrapText="1"/>
    </xf>
    <xf fontId="90" fillId="0" borderId="0" numFmtId="0" xfId="0" applyFont="1" applyAlignment="1">
      <alignment vertical="center"/>
    </xf>
    <xf fontId="26" fillId="37" borderId="23" numFmtId="164" xfId="0" applyNumberFormat="1" applyFont="1" applyFill="1" applyBorder="1" applyAlignment="1">
      <alignment horizontal="left" indent="1" vertical="center" wrapText="1"/>
    </xf>
    <xf fontId="26" fillId="39" borderId="45" numFmtId="0" xfId="0" applyFont="1" applyFill="1" applyBorder="1" applyAlignment="1">
      <alignment vertical="center" wrapText="1"/>
    </xf>
    <xf fontId="52" fillId="0" borderId="45" numFmtId="0" xfId="0" applyFont="1" applyBorder="1" applyAlignment="1">
      <alignment horizontal="center" vertical="center" wrapText="1"/>
    </xf>
    <xf fontId="26" fillId="0" borderId="32" numFmtId="0" xfId="0" applyFont="1" applyBorder="1" applyAlignment="1">
      <alignment vertical="center" wrapText="1"/>
    </xf>
    <xf fontId="0" fillId="39" borderId="21" numFmtId="0" xfId="0" applyFill="1" applyBorder="1" applyAlignment="1">
      <alignment horizontal="center" vertical="center" wrapText="1"/>
    </xf>
    <xf fontId="0" fillId="39" borderId="25" numFmtId="0" xfId="0" applyFill="1" applyBorder="1" applyAlignment="1">
      <alignment horizontal="center" vertical="center" wrapText="1"/>
    </xf>
    <xf fontId="0" fillId="39" borderId="20" numFmtId="0" xfId="0" applyFill="1" applyBorder="1" applyAlignment="1">
      <alignment horizontal="center" vertical="center" wrapText="1"/>
    </xf>
    <xf fontId="26" fillId="39" borderId="32" numFmtId="0" xfId="0" applyFont="1" applyFill="1" applyBorder="1" applyAlignment="1">
      <alignment horizontal="center" vertical="center" wrapText="1"/>
    </xf>
    <xf fontId="61" fillId="41" borderId="32" numFmtId="49" xfId="0" applyNumberFormat="1" applyFont="1" applyFill="1" applyBorder="1" applyAlignment="1">
      <alignment horizontal="center" textRotation="90" vertical="center" wrapText="1"/>
    </xf>
    <xf fontId="26" fillId="0" borderId="42" numFmtId="0" xfId="0" applyFont="1" applyBorder="1" applyAlignment="1">
      <alignment vertical="center" wrapText="1"/>
    </xf>
    <xf fontId="33" fillId="0" borderId="32" numFmtId="0" xfId="0" applyFont="1" applyBorder="1" applyAlignment="1">
      <alignment horizontal="center" vertical="center" wrapText="1"/>
    </xf>
    <xf fontId="26" fillId="39" borderId="42" numFmtId="0" xfId="0" applyFont="1" applyFill="1" applyBorder="1" applyAlignment="1">
      <alignment horizontal="center" vertical="center" wrapText="1"/>
    </xf>
    <xf fontId="61" fillId="41" borderId="42" numFmtId="49" xfId="0" applyNumberFormat="1" applyFont="1" applyFill="1" applyBorder="1" applyAlignment="1">
      <alignment horizontal="center" textRotation="90" vertical="center" wrapText="1"/>
    </xf>
    <xf fontId="26" fillId="0" borderId="30" numFmtId="0" xfId="0" applyFont="1" applyBorder="1" applyAlignment="1">
      <alignment vertical="center" wrapText="1"/>
    </xf>
    <xf fontId="33" fillId="0" borderId="30" numFmtId="0" xfId="0" applyFont="1" applyBorder="1" applyAlignment="1">
      <alignment horizontal="center" vertical="center" wrapText="1"/>
    </xf>
    <xf fontId="26" fillId="39" borderId="30" numFmtId="0" xfId="0" applyFont="1" applyFill="1" applyBorder="1" applyAlignment="1">
      <alignment horizontal="center" vertical="center" wrapText="1"/>
    </xf>
    <xf fontId="61" fillId="41" borderId="30" numFmtId="49" xfId="0" applyNumberFormat="1" applyFont="1" applyFill="1" applyBorder="1" applyAlignment="1">
      <alignment horizontal="center" textRotation="90" vertical="center" wrapText="1"/>
    </xf>
    <xf fontId="54" fillId="0" borderId="0" numFmtId="49" xfId="0" applyNumberFormat="1" applyFont="1" applyAlignment="1">
      <alignment vertical="center" wrapText="1"/>
    </xf>
    <xf fontId="91" fillId="39" borderId="0" numFmtId="0" xfId="0" applyFont="1" applyFill="1" applyAlignment="1">
      <alignment vertical="center" wrapText="1"/>
    </xf>
    <xf fontId="87" fillId="39" borderId="0" numFmtId="0" xfId="0" applyFont="1" applyFill="1" applyAlignment="1">
      <alignment vertical="center" wrapText="1"/>
    </xf>
    <xf fontId="85" fillId="39" borderId="26" numFmtId="49" xfId="0" applyNumberFormat="1" applyFont="1" applyFill="1" applyBorder="1" applyAlignment="1">
      <alignment horizontal="left" vertical="center" wrapText="1"/>
    </xf>
    <xf fontId="85" fillId="39" borderId="26" numFmtId="49" xfId="0" applyNumberFormat="1" applyFont="1" applyFill="1" applyBorder="1" applyAlignment="1">
      <alignment horizontal="center" vertical="center" wrapText="1"/>
    </xf>
    <xf fontId="35" fillId="39" borderId="26" numFmtId="0" xfId="0" applyFont="1" applyFill="1" applyBorder="1" applyAlignment="1">
      <alignment horizontal="center" vertical="center" wrapText="1"/>
    </xf>
    <xf fontId="85" fillId="39" borderId="26" numFmtId="0" xfId="0" applyFont="1" applyFill="1" applyBorder="1" applyAlignment="1">
      <alignment horizontal="center" vertical="center" wrapText="1"/>
    </xf>
    <xf fontId="0" fillId="38" borderId="32" numFmtId="164" xfId="0" applyNumberFormat="1" applyFill="1" applyBorder="1" applyAlignment="1">
      <alignment horizontal="center" vertical="center" wrapText="1"/>
      <protection locked="0"/>
    </xf>
    <xf fontId="26" fillId="0" borderId="32" numFmtId="4" xfId="0" applyNumberFormat="1" applyFont="1" applyBorder="1" applyAlignment="1">
      <alignment horizontal="right" vertical="center" wrapText="1"/>
    </xf>
    <xf fontId="0" fillId="38" borderId="30" numFmtId="49" xfId="0" applyNumberFormat="1" applyFill="1" applyBorder="1" applyAlignment="1">
      <alignment horizontal="center" vertical="center" wrapText="1"/>
      <protection locked="0"/>
    </xf>
    <xf fontId="26" fillId="0" borderId="30" numFmtId="4" xfId="0" applyNumberFormat="1" applyFont="1" applyBorder="1" applyAlignment="1">
      <alignment horizontal="right" vertical="center" wrapText="1"/>
    </xf>
    <xf fontId="26" fillId="0" borderId="0" numFmtId="0" xfId="0" applyFont="1" applyAlignment="1">
      <alignment horizontal="left" vertical="top" wrapText="1"/>
    </xf>
    <xf fontId="26" fillId="0" borderId="23" numFmtId="166" xfId="0" applyNumberFormat="1" applyFont="1" applyBorder="1" applyAlignment="1">
      <alignment horizontal="right" vertical="center" wrapText="1"/>
    </xf>
    <xf fontId="0" fillId="39" borderId="26" numFmtId="0" xfId="0" applyFill="1" applyBorder="1" applyAlignment="1">
      <alignment horizontal="center" vertical="center" wrapText="1"/>
    </xf>
    <xf fontId="35" fillId="0" borderId="32" numFmtId="0" xfId="0" applyFont="1" applyBorder="1" applyAlignment="1">
      <alignment horizontal="center" vertical="center" wrapText="1"/>
    </xf>
    <xf fontId="35" fillId="0" borderId="23" numFmtId="0" xfId="0" applyFont="1" applyBorder="1" applyAlignment="1">
      <alignment horizontal="left" indent="4" vertical="center" wrapText="1"/>
    </xf>
    <xf fontId="35" fillId="0" borderId="23" numFmtId="0" xfId="0" applyFont="1" applyBorder="1" applyAlignment="1">
      <alignment horizontal="left" indent="6" vertical="center" wrapText="1"/>
    </xf>
    <xf fontId="35" fillId="0" borderId="21" numFmtId="0" xfId="0" applyFont="1" applyBorder="1" applyAlignment="1">
      <alignment horizontal="left" vertical="center" wrapText="1"/>
    </xf>
    <xf fontId="35" fillId="0" borderId="25" numFmtId="0" xfId="0" applyFont="1" applyBorder="1" applyAlignment="1">
      <alignment horizontal="left" vertical="center" wrapText="1"/>
    </xf>
    <xf fontId="35" fillId="0" borderId="20" numFmtId="0" xfId="0" applyFont="1" applyBorder="1" applyAlignment="1">
      <alignment horizontal="left" vertical="center" wrapText="1"/>
    </xf>
    <xf fontId="35" fillId="0" borderId="23" numFmtId="0" xfId="0" applyFont="1" applyBorder="1" applyAlignment="1">
      <alignment vertical="top" wrapText="1"/>
    </xf>
    <xf fontId="88" fillId="0" borderId="21" numFmtId="49" xfId="0" applyNumberFormat="1" applyFont="1" applyBorder="1" applyAlignment="1">
      <alignment horizontal="left" vertical="center"/>
    </xf>
    <xf fontId="35" fillId="0" borderId="25" numFmtId="49" xfId="0" applyNumberFormat="1" applyFont="1" applyBorder="1" applyAlignment="1">
      <alignment horizontal="left" indent="4" vertical="center"/>
    </xf>
    <xf fontId="35" fillId="0" borderId="25" numFmtId="49" xfId="0" applyNumberFormat="1" applyFont="1" applyBorder="1" applyAlignment="1">
      <alignment horizontal="center" vertical="center" wrapText="1"/>
    </xf>
    <xf fontId="35" fillId="0" borderId="20" numFmtId="49" xfId="0" applyNumberFormat="1" applyFont="1" applyBorder="1" applyAlignment="1">
      <alignment horizontal="center" vertical="center" wrapText="1"/>
    </xf>
    <xf fontId="35" fillId="0" borderId="0" numFmtId="49" xfId="0" applyNumberFormat="1" applyFont="1" applyAlignment="1">
      <alignment vertical="center" wrapText="1"/>
    </xf>
    <xf fontId="33" fillId="0" borderId="0" numFmtId="0" xfId="0" applyFont="1" applyAlignment="1">
      <alignment vertical="top" wrapText="1"/>
    </xf>
    <xf fontId="26" fillId="0" borderId="23" numFmtId="0" xfId="0" applyFont="1" applyBorder="1" applyAlignment="1">
      <alignment horizontal="center" vertical="center"/>
    </xf>
    <xf fontId="26" fillId="0" borderId="21" numFmtId="0" xfId="0" applyFont="1" applyBorder="1" applyAlignment="1">
      <alignment horizontal="center" vertical="center"/>
    </xf>
    <xf fontId="26" fillId="40" borderId="27" numFmtId="0" xfId="0" applyFont="1" applyFill="1" applyBorder="1" applyAlignment="1">
      <alignment horizontal="left" vertical="center" wrapText="1"/>
    </xf>
    <xf fontId="26" fillId="35" borderId="21" numFmtId="166" xfId="0" applyNumberFormat="1" applyFont="1" applyFill="1" applyBorder="1" applyAlignment="1">
      <alignment horizontal="right" vertical="center" wrapText="1"/>
      <protection locked="0"/>
    </xf>
    <xf fontId="26" fillId="35" borderId="20" numFmtId="4" xfId="0" applyNumberFormat="1" applyFont="1" applyFill="1" applyBorder="1" applyAlignment="1">
      <alignment horizontal="right" vertical="center" wrapText="1"/>
      <protection locked="0"/>
    </xf>
    <xf fontId="62" fillId="0" borderId="32" numFmtId="0" xfId="0" applyFont="1" applyBorder="1" applyAlignment="1">
      <alignment vertical="top" wrapText="1"/>
    </xf>
    <xf fontId="26" fillId="35" borderId="23" numFmtId="0" xfId="0" applyFont="1" applyFill="1" applyBorder="1" applyAlignment="1">
      <alignment horizontal="left" indent="7" vertical="center" wrapText="1"/>
      <protection locked="0"/>
    </xf>
    <xf fontId="35" fillId="0" borderId="21" numFmtId="4" xfId="0" applyNumberFormat="1" applyFont="1" applyBorder="1" applyAlignment="1">
      <alignment horizontal="center" vertical="center" wrapText="1"/>
    </xf>
    <xf fontId="26" fillId="0" borderId="20" numFmtId="4" xfId="0" applyNumberFormat="1" applyFont="1" applyBorder="1" applyAlignment="1">
      <alignment horizontal="right" vertical="center" wrapText="1"/>
    </xf>
    <xf fontId="26" fillId="41" borderId="25" numFmtId="0" xfId="0" applyFont="1" applyFill="1" applyBorder="1" applyAlignment="1">
      <alignment horizontal="left" indent="6" vertical="center" wrapText="1"/>
    </xf>
    <xf fontId="26" fillId="41" borderId="25" numFmtId="4" xfId="0" applyNumberFormat="1" applyFont="1" applyFill="1" applyBorder="1" applyAlignment="1">
      <alignment horizontal="right" vertical="center" wrapText="1"/>
    </xf>
    <xf fontId="35" fillId="41" borderId="25" numFmtId="4" xfId="0" applyNumberFormat="1" applyFont="1" applyFill="1" applyBorder="1" applyAlignment="1">
      <alignment horizontal="center" vertical="center" wrapText="1"/>
    </xf>
    <xf fontId="26" fillId="41" borderId="20" numFmtId="4" xfId="0" applyNumberFormat="1" applyFont="1" applyFill="1" applyBorder="1" applyAlignment="1">
      <alignment horizontal="right" vertical="center" wrapText="1"/>
    </xf>
    <xf fontId="26" fillId="41" borderId="45" numFmtId="49" xfId="0" applyNumberFormat="1" applyFont="1" applyFill="1" applyBorder="1" applyAlignment="1">
      <alignment horizontal="center" vertical="center" wrapText="1"/>
    </xf>
    <xf fontId="54" fillId="0" borderId="0" numFmtId="0" xfId="0" applyFont="1" applyAlignment="1">
      <alignment horizontal="left" indent="1" vertical="center"/>
    </xf>
    <xf fontId="54" fillId="0" borderId="0" numFmtId="0" xfId="0" applyFont="1" applyAlignment="1">
      <alignment horizontal="center" vertical="center"/>
    </xf>
    <xf fontId="54" fillId="0" borderId="0" numFmtId="0" xfId="0" applyFont="1" applyAlignment="1">
      <alignment horizontal="left" vertical="center" wrapText="1"/>
    </xf>
    <xf fontId="54" fillId="0" borderId="0" numFmtId="49" xfId="0" applyNumberFormat="1" applyFont="1" applyAlignment="1">
      <alignment horizontal="left" vertical="center"/>
    </xf>
    <xf fontId="26" fillId="0" borderId="23" numFmtId="49" xfId="0" applyNumberFormat="1" applyFont="1" applyBorder="1" applyAlignment="1">
      <alignment vertical="center" wrapText="1"/>
    </xf>
    <xf fontId="26" fillId="0" borderId="26" numFmtId="0" xfId="0" applyFont="1" applyBorder="1" applyAlignment="1">
      <alignment horizontal="center" vertical="center" wrapText="1"/>
    </xf>
    <xf fontId="26" fillId="0" borderId="45" numFmtId="0" xfId="0" applyFont="1" applyBorder="1" applyAlignment="1">
      <alignment horizontal="center" vertical="center" wrapText="1"/>
    </xf>
    <xf fontId="0" fillId="0" borderId="42" numFmtId="0" xfId="0" applyBorder="1" applyAlignment="1">
      <alignment horizontal="center" vertical="center" wrapText="1"/>
    </xf>
    <xf fontId="55" fillId="39" borderId="0" numFmtId="0" xfId="0" applyFont="1" applyFill="1" applyAlignment="1">
      <alignment horizontal="center" vertical="center" wrapText="1"/>
    </xf>
    <xf fontId="35" fillId="0" borderId="23" numFmtId="0" xfId="0" applyFont="1" applyBorder="1" applyAlignment="1">
      <alignment horizontal="left" indent="5" vertical="center" wrapText="1"/>
    </xf>
    <xf fontId="35" fillId="0" borderId="29" numFmtId="0" xfId="0" applyFont="1" applyBorder="1" applyAlignment="1">
      <alignment horizontal="center" vertical="top" wrapText="1"/>
    </xf>
    <xf fontId="26" fillId="39" borderId="32" numFmtId="0" xfId="0" applyFont="1" applyFill="1" applyBorder="1" applyAlignment="1">
      <alignment horizontal="left" vertical="center" wrapText="1"/>
    </xf>
    <xf fontId="26" fillId="38" borderId="32" numFmtId="49" xfId="0" applyNumberFormat="1" applyFont="1" applyFill="1" applyBorder="1" applyAlignment="1">
      <alignment horizontal="left" indent="6" vertical="center" wrapText="1"/>
      <protection locked="0"/>
    </xf>
    <xf fontId="52" fillId="0" borderId="23" numFmtId="0" xfId="0" applyFont="1" applyBorder="1" applyAlignment="1">
      <alignment horizontal="center" vertical="center" wrapText="1"/>
    </xf>
    <xf fontId="26" fillId="0" borderId="23" numFmtId="0" xfId="0" applyFont="1" applyBorder="1" applyAlignment="1">
      <alignment horizontal="left" indent="4" vertical="center" wrapText="1"/>
    </xf>
    <xf fontId="26" fillId="39" borderId="42" numFmtId="0" xfId="0" applyFont="1" applyFill="1" applyBorder="1" applyAlignment="1">
      <alignment horizontal="left" vertical="center" wrapText="1"/>
    </xf>
    <xf fontId="26" fillId="38" borderId="42" numFmtId="49" xfId="0" applyNumberFormat="1" applyFont="1" applyFill="1" applyBorder="1" applyAlignment="1">
      <alignment horizontal="left" indent="6" vertical="center" wrapText="1"/>
      <protection locked="0"/>
    </xf>
    <xf fontId="26" fillId="41" borderId="20" numFmtId="166" xfId="0" applyNumberFormat="1" applyFont="1" applyFill="1" applyBorder="1" applyAlignment="1">
      <alignment horizontal="right" vertical="center" wrapText="1"/>
    </xf>
    <xf fontId="61" fillId="41" borderId="21" numFmtId="49" xfId="0" applyNumberFormat="1" applyFont="1" applyFill="1" applyBorder="1" applyAlignment="1">
      <alignment horizontal="left" vertical="center"/>
    </xf>
    <xf fontId="26" fillId="41" borderId="25" numFmtId="166" xfId="0" applyNumberFormat="1" applyFont="1" applyFill="1" applyBorder="1" applyAlignment="1">
      <alignment horizontal="right" vertical="center" wrapText="1"/>
    </xf>
    <xf fontId="26" fillId="0" borderId="42" numFmtId="4" xfId="0" applyNumberFormat="1" applyFont="1" applyBorder="1" applyAlignment="1">
      <alignment horizontal="right" vertical="center" wrapText="1"/>
    </xf>
    <xf fontId="61" fillId="41" borderId="21" numFmtId="49" xfId="0" applyNumberFormat="1" applyFont="1" applyFill="1" applyBorder="1" applyAlignment="1">
      <alignment horizontal="left" indent="1" vertical="center"/>
    </xf>
    <xf fontId="26" fillId="39" borderId="30" numFmtId="0" xfId="0" applyFont="1" applyFill="1" applyBorder="1" applyAlignment="1">
      <alignment horizontal="left" vertical="center" wrapText="1"/>
    </xf>
    <xf fontId="26" fillId="38" borderId="30" numFmtId="49" xfId="0" applyNumberFormat="1" applyFont="1" applyFill="1" applyBorder="1" applyAlignment="1">
      <alignment horizontal="left" indent="6" vertical="center" wrapText="1"/>
      <protection locked="0"/>
    </xf>
    <xf fontId="35" fillId="41" borderId="20" numFmtId="4" xfId="0" applyNumberFormat="1" applyFont="1" applyFill="1" applyBorder="1" applyAlignment="1">
      <alignment horizontal="center" vertical="center" wrapText="1"/>
    </xf>
    <xf fontId="61" fillId="41" borderId="21" numFmtId="49" xfId="0" applyNumberFormat="1" applyFont="1" applyFill="1" applyBorder="1" applyAlignment="1">
      <alignment vertical="center" wrapText="1"/>
    </xf>
    <xf fontId="61" fillId="41" borderId="25" numFmtId="49" xfId="0" applyNumberFormat="1" applyFont="1" applyFill="1" applyBorder="1" applyAlignment="1">
      <alignment vertical="center" wrapText="1"/>
    </xf>
    <xf fontId="35" fillId="0" borderId="29" numFmtId="49" xfId="0" applyNumberFormat="1" applyFont="1" applyBorder="1" applyAlignment="1">
      <alignment vertical="top"/>
    </xf>
    <xf fontId="92" fillId="0" borderId="0" numFmtId="0" xfId="0" applyFont="1" applyAlignment="1">
      <alignment horizontal="center" vertical="center" wrapText="1"/>
    </xf>
    <xf fontId="35" fillId="0" borderId="0" numFmtId="49" xfId="0" applyNumberFormat="1" applyFont="1" applyAlignment="1">
      <alignment horizontal="left" indent="1" vertical="center" wrapText="1"/>
    </xf>
    <xf fontId="35" fillId="0" borderId="0" numFmtId="0" xfId="0" applyFont="1" applyAlignment="1">
      <alignment horizontal="left" indent="4" vertical="center" wrapText="1"/>
    </xf>
    <xf fontId="35" fillId="0" borderId="29" numFmtId="0" xfId="0" applyFont="1" applyBorder="1" applyAlignment="1">
      <alignment horizontal="left" indent="1" vertical="center" wrapText="1"/>
    </xf>
    <xf fontId="35" fillId="0" borderId="23" numFmtId="4" xfId="0" applyNumberFormat="1" applyFont="1" applyBorder="1" applyAlignment="1">
      <alignment horizontal="right" vertical="center" wrapText="1"/>
    </xf>
    <xf fontId="35" fillId="0" borderId="23" numFmtId="166" xfId="0" applyNumberFormat="1" applyFont="1" applyBorder="1" applyAlignment="1">
      <alignment horizontal="right" vertical="center" wrapText="1"/>
    </xf>
    <xf fontId="35" fillId="0" borderId="23" numFmtId="164" xfId="0" applyNumberFormat="1" applyFont="1" applyBorder="1" applyAlignment="1">
      <alignment horizontal="center" vertical="center" wrapText="1"/>
    </xf>
    <xf fontId="35" fillId="0" borderId="23" numFmtId="49" xfId="0" applyNumberFormat="1" applyFont="1" applyBorder="1" applyAlignment="1">
      <alignment horizontal="center" vertical="center" wrapText="1"/>
    </xf>
    <xf fontId="33" fillId="0" borderId="0" numFmtId="0" xfId="0" applyFont="1" applyAlignment="1">
      <alignment horizontal="left" vertical="center"/>
    </xf>
    <xf fontId="33" fillId="0" borderId="0" numFmtId="49" xfId="0" applyNumberFormat="1" applyFont="1" applyAlignment="1">
      <alignment horizontal="left" vertical="center"/>
    </xf>
    <xf fontId="89" fillId="0" borderId="0" numFmtId="0" xfId="0" applyFont="1" applyAlignment="1">
      <alignment horizontal="left" vertical="center"/>
    </xf>
    <xf fontId="35" fillId="0" borderId="0" numFmtId="0" xfId="0" applyFont="1" applyAlignment="1">
      <alignment horizontal="left" vertical="center"/>
    </xf>
    <xf fontId="89" fillId="39" borderId="0" numFmtId="0" xfId="0" applyFont="1" applyFill="1" applyAlignment="1">
      <alignment vertical="center" wrapText="1"/>
    </xf>
    <xf fontId="26" fillId="39" borderId="33" numFmtId="0" xfId="0" applyFont="1" applyFill="1" applyBorder="1" applyAlignment="1">
      <alignment horizontal="center" vertical="center" wrapText="1"/>
    </xf>
    <xf fontId="0" fillId="39" borderId="33" numFmtId="0" xfId="0" applyFill="1" applyBorder="1" applyAlignment="1">
      <alignment horizontal="center" vertical="center" wrapText="1"/>
    </xf>
    <xf fontId="0" fillId="39" borderId="27" numFmtId="0" xfId="0" applyFill="1" applyBorder="1" applyAlignment="1">
      <alignment horizontal="center" vertical="center" wrapText="1"/>
    </xf>
    <xf fontId="26" fillId="39" borderId="28" numFmtId="0" xfId="0" applyFont="1" applyFill="1" applyBorder="1" applyAlignment="1">
      <alignment horizontal="center" vertical="center" wrapText="1"/>
    </xf>
    <xf fontId="0" fillId="39" borderId="28" numFmtId="0" xfId="0" applyFill="1" applyBorder="1" applyAlignment="1">
      <alignment horizontal="center" vertical="center" wrapText="1"/>
    </xf>
    <xf fontId="0" fillId="39" borderId="0" numFmtId="0" xfId="0" applyFill="1" applyAlignment="1">
      <alignment horizontal="center" vertical="center" wrapText="1"/>
    </xf>
    <xf fontId="0" fillId="39" borderId="29" numFmtId="0" xfId="0" applyFill="1" applyBorder="1" applyAlignment="1">
      <alignment horizontal="center" vertical="center" wrapText="1"/>
    </xf>
    <xf fontId="26" fillId="38" borderId="23" numFmtId="0" xfId="0" applyFont="1" applyFill="1" applyBorder="1" applyAlignment="1">
      <alignment horizontal="center" vertical="center" wrapText="1"/>
      <protection locked="0"/>
    </xf>
    <xf fontId="26" fillId="39" borderId="35" numFmtId="0" xfId="0" applyFont="1" applyFill="1" applyBorder="1" applyAlignment="1">
      <alignment horizontal="center" vertical="center" wrapText="1"/>
    </xf>
    <xf fontId="0" fillId="39" borderId="35" numFmtId="0" xfId="0" applyFill="1" applyBorder="1" applyAlignment="1">
      <alignment horizontal="center" vertical="center" wrapText="1"/>
    </xf>
    <xf fontId="0" fillId="39" borderId="45" numFmtId="0" xfId="0" applyFill="1" applyBorder="1" applyAlignment="1">
      <alignment horizontal="center" vertical="center" wrapText="1"/>
    </xf>
    <xf fontId="0" fillId="39" borderId="34" numFmtId="0" xfId="0" applyFill="1" applyBorder="1" applyAlignment="1">
      <alignment horizontal="center" vertical="center" wrapText="1"/>
    </xf>
    <xf fontId="26" fillId="0" borderId="23" numFmtId="0" xfId="0" applyFont="1" applyBorder="1" applyAlignment="1">
      <alignment horizontal="left" indent="1" vertical="center" wrapText="1"/>
    </xf>
    <xf fontId="26" fillId="41" borderId="21" numFmtId="49" xfId="0" applyNumberFormat="1" applyFont="1" applyFill="1" applyBorder="1" applyAlignment="1">
      <alignment horizontal="center" vertical="center" wrapText="1"/>
    </xf>
    <xf fontId="54" fillId="0" borderId="29" numFmtId="49" xfId="0" applyNumberFormat="1" applyFont="1" applyBorder="1" applyAlignment="1">
      <alignment vertical="top"/>
    </xf>
    <xf fontId="26" fillId="35" borderId="21" numFmtId="0" xfId="0" applyFont="1" applyFill="1" applyBorder="1" applyAlignment="1">
      <alignment horizontal="left" vertical="center" wrapText="1"/>
      <protection locked="0"/>
    </xf>
    <xf fontId="26" fillId="35" borderId="25" numFmtId="0" xfId="0" applyFont="1" applyFill="1" applyBorder="1" applyAlignment="1">
      <alignment horizontal="left" vertical="center" wrapText="1"/>
      <protection locked="0"/>
    </xf>
    <xf fontId="26" fillId="35" borderId="20" numFmtId="0" xfId="0" applyFont="1" applyFill="1" applyBorder="1" applyAlignment="1">
      <alignment horizontal="left" vertical="center" wrapText="1"/>
      <protection locked="0"/>
    </xf>
    <xf fontId="26" fillId="35" borderId="21" numFmtId="49" xfId="0" applyNumberFormat="1" applyFont="1" applyFill="1" applyBorder="1" applyAlignment="1">
      <alignment horizontal="left" vertical="center" wrapText="1"/>
      <protection locked="0"/>
    </xf>
    <xf fontId="26" fillId="35" borderId="25" numFmtId="49" xfId="0" applyNumberFormat="1" applyFont="1" applyFill="1" applyBorder="1" applyAlignment="1">
      <alignment horizontal="left" vertical="center" wrapText="1"/>
      <protection locked="0"/>
    </xf>
    <xf fontId="26" fillId="35" borderId="20" numFmtId="49" xfId="0" applyNumberFormat="1" applyFont="1" applyFill="1" applyBorder="1" applyAlignment="1">
      <alignment horizontal="left" vertical="center" wrapText="1"/>
      <protection locked="0"/>
    </xf>
    <xf fontId="26" fillId="35" borderId="23" numFmtId="49" xfId="0" applyNumberFormat="1" applyFont="1" applyFill="1" applyBorder="1" applyAlignment="1">
      <alignment horizontal="left" indent="6" vertical="center" wrapText="1"/>
      <protection locked="0"/>
    </xf>
    <xf fontId="26" fillId="0" borderId="33" numFmtId="4" xfId="0" applyNumberFormat="1" applyFont="1" applyBorder="1" applyAlignment="1">
      <alignment horizontal="right" vertical="center" wrapText="1"/>
    </xf>
    <xf fontId="62" fillId="0" borderId="23" numFmtId="0" xfId="0" applyFont="1" applyBorder="1" applyAlignment="1">
      <alignment horizontal="left" vertical="top" wrapText="1"/>
    </xf>
    <xf fontId="26" fillId="0" borderId="35" numFmtId="4" xfId="0" applyNumberFormat="1" applyFont="1" applyBorder="1" applyAlignment="1">
      <alignment horizontal="right" vertical="center" wrapText="1"/>
    </xf>
    <xf fontId="0" fillId="41" borderId="34" numFmtId="49" xfId="0" applyNumberFormat="1" applyFill="1" applyBorder="1" applyAlignment="1">
      <alignment horizontal="center" vertical="center" wrapText="1"/>
    </xf>
    <xf fontId="61" fillId="41" borderId="25" numFmtId="49" xfId="0" applyNumberFormat="1" applyFont="1" applyFill="1" applyBorder="1" applyAlignment="1">
      <alignment horizontal="left" indent="3" vertical="center"/>
    </xf>
    <xf fontId="93" fillId="0" borderId="0" numFmtId="0" xfId="0" applyFont="1" applyAlignment="1">
      <alignment vertical="center" wrapText="1"/>
    </xf>
    <xf fontId="92" fillId="0" borderId="0" numFmtId="0" xfId="0" applyFont="1" applyAlignment="1">
      <alignment vertical="center" wrapText="1"/>
    </xf>
    <xf fontId="92" fillId="39" borderId="0" numFmtId="0" xfId="0" applyFont="1" applyFill="1" applyAlignment="1">
      <alignment horizontal="center" vertical="center" wrapText="1"/>
    </xf>
    <xf fontId="35" fillId="39" borderId="23" numFmtId="0" xfId="0" applyFont="1" applyFill="1" applyBorder="1" applyAlignment="1">
      <alignment horizontal="left" indent="3" vertical="center" wrapText="1"/>
    </xf>
    <xf fontId="26" fillId="35" borderId="32" numFmtId="49" xfId="0" applyNumberFormat="1" applyFont="1" applyFill="1" applyBorder="1" applyAlignment="1">
      <alignment horizontal="left" indent="6" vertical="center" wrapText="1"/>
      <protection locked="0"/>
    </xf>
    <xf fontId="26" fillId="38" borderId="23" numFmtId="4" xfId="0" applyNumberFormat="1" applyFont="1" applyFill="1" applyBorder="1" applyAlignment="1">
      <alignment horizontal="left" indent="1" vertical="center" wrapText="1"/>
      <protection locked="0"/>
    </xf>
    <xf fontId="26" fillId="40" borderId="23" numFmtId="49" xfId="0" applyNumberFormat="1" applyFont="1" applyFill="1" applyBorder="1" applyAlignment="1">
      <alignment horizontal="left" indent="1" vertical="center" wrapText="1"/>
      <protection locked="0"/>
    </xf>
    <xf fontId="26" fillId="38" borderId="23" numFmtId="4" xfId="0" applyNumberFormat="1" applyFont="1" applyFill="1" applyBorder="1" applyAlignment="1">
      <alignment horizontal="center" vertical="center" wrapText="1"/>
      <protection locked="0"/>
    </xf>
    <xf fontId="26" fillId="40" borderId="27" numFmtId="49" xfId="0" applyNumberFormat="1" applyFont="1" applyFill="1" applyBorder="1" applyAlignment="1">
      <alignment horizontal="center" vertical="center" wrapText="1"/>
    </xf>
    <xf fontId="26" fillId="35" borderId="42" numFmtId="49" xfId="0" applyNumberFormat="1" applyFont="1" applyFill="1" applyBorder="1" applyAlignment="1">
      <alignment horizontal="left" indent="6" vertical="center" wrapText="1"/>
      <protection locked="0"/>
    </xf>
    <xf fontId="26" fillId="40" borderId="34" numFmtId="49" xfId="0" applyNumberFormat="1" applyFont="1" applyFill="1" applyBorder="1" applyAlignment="1">
      <alignment horizontal="center" vertical="center" wrapText="1"/>
    </xf>
    <xf fontId="61" fillId="41" borderId="45" numFmtId="49" xfId="0" applyNumberFormat="1" applyFont="1" applyFill="1" applyBorder="1" applyAlignment="1">
      <alignment horizontal="left" vertical="center"/>
    </xf>
    <xf fontId="26" fillId="35" borderId="30" numFmtId="49" xfId="0" applyNumberFormat="1" applyFont="1" applyFill="1" applyBorder="1" applyAlignment="1">
      <alignment horizontal="left" indent="6" vertical="center" wrapText="1"/>
      <protection locked="0"/>
    </xf>
    <xf fontId="35" fillId="0" borderId="26" numFmtId="0" xfId="0" applyFont="1" applyBorder="1" applyAlignment="1">
      <alignment horizontal="left" vertical="center" wrapText="1"/>
    </xf>
    <xf fontId="30" fillId="0" borderId="0" numFmtId="49" xfId="0" applyNumberFormat="1" applyFont="1" applyAlignment="1">
      <alignment horizontal="center" vertical="center" wrapText="1"/>
    </xf>
    <xf fontId="59" fillId="0" borderId="0" numFmtId="0" xfId="0" applyFont="1" applyAlignment="1">
      <alignment vertical="center" wrapText="1"/>
    </xf>
    <xf fontId="26" fillId="0" borderId="46" numFmtId="0" xfId="0" applyFont="1" applyBorder="1" applyAlignment="1">
      <alignment horizontal="center" vertical="center" wrapText="1"/>
    </xf>
    <xf fontId="26" fillId="38" borderId="23" numFmtId="0" xfId="0" applyFont="1" applyFill="1" applyBorder="1" applyAlignment="1">
      <alignment horizontal="left" indent="2" vertical="center" wrapText="1"/>
      <protection locked="0"/>
    </xf>
    <xf fontId="94" fillId="0" borderId="0" numFmtId="0" xfId="0" applyFont="1" applyAlignment="1">
      <alignment vertical="center" wrapText="1"/>
    </xf>
    <xf fontId="35" fillId="0" borderId="46" numFmtId="0" xfId="0" applyFont="1" applyBorder="1" applyAlignment="1">
      <alignment horizontal="center" vertical="center" wrapText="1"/>
    </xf>
    <xf fontId="35" fillId="0" borderId="23" numFmtId="0" xfId="0" applyFont="1" applyBorder="1" applyAlignment="1">
      <alignment horizontal="left" indent="2" vertical="center" wrapText="1"/>
    </xf>
    <xf fontId="26" fillId="0" borderId="23" numFmtId="0" xfId="0" applyFont="1" applyBorder="1" applyAlignment="1">
      <alignment horizontal="left" indent="3" vertical="center" wrapText="1"/>
    </xf>
    <xf fontId="26" fillId="38" borderId="23" numFmtId="49" xfId="0" applyNumberFormat="1" applyFont="1" applyFill="1" applyBorder="1" applyAlignment="1">
      <alignment horizontal="center" vertical="center" wrapText="1"/>
      <protection locked="0"/>
    </xf>
    <xf fontId="26" fillId="35" borderId="23" numFmtId="0" xfId="0" applyFont="1" applyFill="1" applyBorder="1" applyAlignment="1">
      <alignment horizontal="left" vertical="center" wrapText="1"/>
      <protection locked="0"/>
    </xf>
    <xf fontId="26" fillId="0" borderId="0" numFmtId="49" xfId="0" applyNumberFormat="1" applyFont="1" applyAlignment="1">
      <alignment horizontal="center" vertical="top" wrapText="1"/>
    </xf>
    <xf fontId="26" fillId="0" borderId="20" numFmtId="0" xfId="0" applyFont="1" applyBorder="1" applyAlignment="1">
      <alignment vertical="top" wrapText="1"/>
    </xf>
    <xf fontId="26" fillId="35" borderId="23" numFmtId="167" xfId="0" applyNumberFormat="1" applyFont="1" applyFill="1" applyBorder="1" applyAlignment="1">
      <alignment horizontal="right" vertical="center" wrapText="1"/>
      <protection locked="0"/>
    </xf>
    <xf fontId="26" fillId="0" borderId="27" numFmtId="0" xfId="0" applyFont="1" applyBorder="1" applyAlignment="1">
      <alignment vertical="center" wrapText="1"/>
    </xf>
    <xf fontId="26" fillId="0" borderId="0" numFmtId="0" xfId="0" applyFont="1" applyAlignment="1">
      <alignment horizontal="left" indent="3" vertical="center" wrapText="1"/>
    </xf>
    <xf fontId="88" fillId="39" borderId="0" numFmtId="0" xfId="0" applyFont="1" applyFill="1" applyAlignment="1">
      <alignment horizontal="right" vertical="center"/>
    </xf>
    <xf fontId="26" fillId="0" borderId="21" numFmtId="0" xfId="0" applyFont="1" applyBorder="1" applyAlignment="1">
      <alignment vertical="center" wrapText="1"/>
    </xf>
    <xf fontId="26" fillId="0" borderId="25" numFmtId="0" xfId="0" applyFont="1" applyBorder="1" applyAlignment="1">
      <alignment horizontal="right" indent="1" vertical="center" wrapText="1"/>
    </xf>
    <xf fontId="26" fillId="0" borderId="20" numFmtId="0" xfId="0" applyFont="1" applyBorder="1" applyAlignment="1">
      <alignment horizontal="right" indent="1" vertical="center" wrapText="1"/>
    </xf>
    <xf fontId="26" fillId="37" borderId="21" numFmtId="0" xfId="0" applyFont="1" applyFill="1" applyBorder="1" applyAlignment="1">
      <alignment horizontal="left" vertical="top" wrapText="1"/>
    </xf>
    <xf fontId="26" fillId="0" borderId="21" numFmtId="0" xfId="0" applyFont="1" applyBorder="1" applyAlignment="1">
      <alignment horizontal="right" vertical="center" wrapText="1"/>
    </xf>
    <xf fontId="26" fillId="0" borderId="25" numFmtId="0" xfId="0" applyFont="1" applyBorder="1" applyAlignment="1">
      <alignment horizontal="right" vertical="center" wrapText="1"/>
    </xf>
    <xf fontId="26" fillId="38" borderId="23" numFmtId="4" xfId="0" applyNumberFormat="1" applyFont="1" applyFill="1" applyBorder="1" applyAlignment="1">
      <alignment horizontal="right" vertical="center" wrapText="1"/>
      <protection locked="0"/>
    </xf>
    <xf fontId="26" fillId="37" borderId="23" numFmtId="4" xfId="0" applyNumberFormat="1" applyFont="1" applyFill="1" applyBorder="1" applyAlignment="1">
      <alignment horizontal="right" vertical="center" wrapText="1"/>
    </xf>
    <xf fontId="30" fillId="34" borderId="0" numFmtId="49" xfId="0" applyNumberFormat="1" applyFont="1" applyFill="1" applyAlignment="1">
      <alignment horizontal="center" textRotation="90" vertical="center" wrapText="1"/>
    </xf>
    <xf fontId="54" fillId="0" borderId="0" numFmtId="0" xfId="0" applyFont="1" applyAlignment="1">
      <alignment horizontal="center" vertical="center" wrapText="1"/>
    </xf>
    <xf fontId="54" fillId="0" borderId="0" numFmtId="49" xfId="0" applyNumberFormat="1" applyFont="1" applyAlignment="1">
      <alignment horizontal="center" vertical="center" wrapText="1"/>
    </xf>
    <xf fontId="54" fillId="0" borderId="46" numFmtId="49" xfId="0" applyNumberFormat="1" applyFont="1" applyBorder="1" applyAlignment="1">
      <alignment horizontal="center" vertical="center" wrapText="1"/>
    </xf>
    <xf fontId="54" fillId="0" borderId="23" numFmtId="0" xfId="0" applyFont="1" applyBorder="1" applyAlignment="1">
      <alignment horizontal="left" indent="2" vertical="center" wrapText="1"/>
    </xf>
    <xf fontId="54" fillId="0" borderId="23" numFmtId="0" xfId="0" applyFont="1" applyBorder="1" applyAlignment="1">
      <alignment horizontal="center" vertical="center" wrapText="1"/>
    </xf>
    <xf fontId="54" fillId="0" borderId="23" numFmtId="0" xfId="0" applyFont="1" applyBorder="1" applyAlignment="1">
      <alignment vertical="center" wrapText="1"/>
    </xf>
    <xf fontId="95" fillId="0" borderId="0" numFmtId="0" xfId="0" applyFont="1" applyAlignment="1">
      <alignment vertical="center" wrapText="1"/>
    </xf>
    <xf fontId="54" fillId="0" borderId="46" numFmtId="0" xfId="0" applyFont="1" applyBorder="1" applyAlignment="1">
      <alignment horizontal="center" vertical="center" wrapText="1"/>
    </xf>
    <xf fontId="54" fillId="0" borderId="23" numFmtId="0" xfId="0" applyFont="1" applyBorder="1" applyAlignment="1">
      <alignment horizontal="left" indent="3" vertical="center" wrapText="1"/>
    </xf>
    <xf fontId="54" fillId="0" borderId="23" numFmtId="4" xfId="0" applyNumberFormat="1" applyFont="1" applyBorder="1" applyAlignment="1">
      <alignment horizontal="right" vertical="center" wrapText="1"/>
    </xf>
    <xf fontId="26" fillId="41" borderId="21" numFmtId="49" xfId="0" applyNumberFormat="1" applyFont="1" applyFill="1" applyBorder="1" applyAlignment="1">
      <alignment vertical="center" wrapText="1"/>
    </xf>
    <xf fontId="26" fillId="41" borderId="25" numFmtId="0" xfId="0" applyFont="1" applyFill="1" applyBorder="1" applyAlignment="1">
      <alignment vertical="center" wrapText="1"/>
    </xf>
    <xf fontId="33" fillId="41" borderId="20" numFmtId="0" xfId="0" applyFont="1" applyFill="1" applyBorder="1" applyAlignment="1">
      <alignment vertical="center" wrapText="1"/>
    </xf>
    <xf fontId="26" fillId="0" borderId="23" numFmtId="0" xfId="0" applyFont="1" applyBorder="1" applyAlignment="1">
      <alignment horizontal="left" indent="2" vertical="center" wrapText="1"/>
    </xf>
    <xf fontId="26" fillId="0" borderId="0" numFmtId="14" xfId="0" applyNumberFormat="1" applyFont="1" applyAlignment="1">
      <alignment horizontal="center" vertical="center" wrapText="1"/>
    </xf>
    <xf fontId="30" fillId="34" borderId="0" numFmtId="49" xfId="0" applyNumberFormat="1" applyFont="1" applyFill="1" applyAlignment="1">
      <alignment horizontal="center" vertical="center" wrapText="1"/>
    </xf>
    <xf fontId="41" fillId="0" borderId="0" numFmtId="49" xfId="0" applyNumberFormat="1" applyFont="1" applyAlignment="1">
      <alignment horizontal="center" vertical="center"/>
    </xf>
    <xf fontId="26" fillId="38" borderId="23" numFmtId="167" xfId="0" applyNumberFormat="1" applyFont="1" applyFill="1" applyBorder="1" applyAlignment="1">
      <alignment horizontal="right" vertical="center" wrapText="1"/>
      <protection locked="0"/>
    </xf>
    <xf fontId="30" fillId="0" borderId="0" numFmtId="49" xfId="0" applyNumberFormat="1" applyFont="1" applyAlignment="1">
      <alignment horizontal="left" vertical="center" wrapText="1"/>
    </xf>
    <xf fontId="59" fillId="0" borderId="0" numFmtId="0" xfId="0" applyFont="1" applyAlignment="1">
      <alignment horizontal="left" vertical="center" wrapText="1"/>
    </xf>
    <xf fontId="26" fillId="37" borderId="32" numFmtId="4" xfId="0" applyNumberFormat="1" applyFont="1" applyFill="1" applyBorder="1" applyAlignment="1">
      <alignment horizontal="right" vertical="center" wrapText="1"/>
    </xf>
    <xf fontId="35" fillId="0" borderId="23" numFmtId="0" xfId="0" applyFont="1" applyBorder="1" applyAlignment="1">
      <alignment horizontal="left" indent="3" vertical="center" wrapText="1"/>
    </xf>
    <xf fontId="35" fillId="0" borderId="23" numFmtId="49" xfId="0" applyNumberFormat="1" applyFont="1" applyBorder="1" applyAlignment="1">
      <alignment vertical="center" wrapText="1"/>
    </xf>
    <xf fontId="35" fillId="0" borderId="32" numFmtId="0" xfId="0" applyFont="1" applyBorder="1" applyAlignment="1">
      <alignment vertical="top" wrapText="1"/>
    </xf>
    <xf fontId="26" fillId="38" borderId="20" numFmtId="4" xfId="0" applyNumberFormat="1" applyFont="1" applyFill="1" applyBorder="1" applyAlignment="1">
      <alignment horizontal="right" vertical="center" wrapText="1"/>
      <protection locked="0"/>
    </xf>
    <xf fontId="45" fillId="35" borderId="20" numFmtId="49" xfId="0" applyNumberFormat="1" applyFont="1" applyFill="1" applyBorder="1" applyAlignment="1">
      <alignment horizontal="left" vertical="center" wrapText="1"/>
      <protection locked="0"/>
    </xf>
    <xf fontId="45" fillId="35" borderId="23" numFmtId="49" xfId="0" applyNumberFormat="1" applyFont="1" applyFill="1" applyBorder="1" applyAlignment="1">
      <alignment horizontal="left" vertical="center" wrapText="1"/>
      <protection locked="0"/>
    </xf>
    <xf fontId="26" fillId="38" borderId="20" numFmtId="167" xfId="0" applyNumberFormat="1" applyFont="1" applyFill="1" applyBorder="1" applyAlignment="1">
      <alignment horizontal="right" vertical="center" wrapText="1"/>
      <protection locked="0"/>
    </xf>
    <xf fontId="26" fillId="37" borderId="20" numFmtId="167" xfId="0" applyNumberFormat="1" applyFont="1" applyFill="1" applyBorder="1" applyAlignment="1">
      <alignment horizontal="right" vertical="center" wrapText="1"/>
    </xf>
    <xf fontId="26" fillId="37" borderId="23" numFmtId="167" xfId="0" applyNumberFormat="1" applyFont="1" applyFill="1" applyBorder="1" applyAlignment="1">
      <alignment horizontal="right" vertical="center" wrapText="1"/>
    </xf>
    <xf fontId="26" fillId="38" borderId="34" numFmtId="4" xfId="0" applyNumberFormat="1" applyFont="1" applyFill="1" applyBorder="1" applyAlignment="1">
      <alignment horizontal="right" vertical="center" wrapText="1"/>
      <protection locked="0"/>
    </xf>
    <xf fontId="26" fillId="38" borderId="30" numFmtId="4" xfId="0" applyNumberFormat="1" applyFont="1" applyFill="1" applyBorder="1" applyAlignment="1">
      <alignment horizontal="right" vertical="center" wrapText="1"/>
      <protection locked="0"/>
    </xf>
    <xf fontId="35" fillId="0" borderId="42" numFmtId="0" xfId="0" applyFont="1" applyBorder="1" applyAlignment="1">
      <alignment horizontal="left" indent="1" vertical="center" wrapText="1"/>
    </xf>
    <xf fontId="35" fillId="0" borderId="42" numFmtId="0" xfId="0" applyFont="1" applyBorder="1" applyAlignment="1">
      <alignment horizontal="center" vertical="center" wrapText="1"/>
    </xf>
    <xf fontId="35" fillId="0" borderId="32" numFmtId="0" xfId="0" applyFont="1" applyBorder="1" applyAlignment="1">
      <alignment vertical="center" wrapText="1"/>
    </xf>
    <xf fontId="26" fillId="41" borderId="33" numFmtId="49" xfId="0" applyNumberFormat="1" applyFont="1" applyFill="1" applyBorder="1" applyAlignment="1">
      <alignment vertical="center" wrapText="1"/>
    </xf>
    <xf fontId="61" fillId="41" borderId="26" numFmtId="49" xfId="0" applyNumberFormat="1" applyFont="1" applyFill="1" applyBorder="1" applyAlignment="1">
      <alignment horizontal="left" indent="1" vertical="center"/>
    </xf>
    <xf fontId="26" fillId="0" borderId="30" numFmtId="0" xfId="0" applyFont="1" applyBorder="1" applyAlignment="1">
      <alignment vertical="top" wrapText="1"/>
    </xf>
    <xf fontId="26" fillId="38" borderId="32" numFmtId="167" xfId="0" applyNumberFormat="1" applyFont="1" applyFill="1" applyBorder="1" applyAlignment="1">
      <alignment horizontal="right" vertical="center" wrapText="1"/>
      <protection locked="0"/>
    </xf>
    <xf fontId="35" fillId="0" borderId="30" numFmtId="0" xfId="0" applyFont="1" applyBorder="1" applyAlignment="1">
      <alignment horizontal="left" indent="1" vertical="center" wrapText="1"/>
    </xf>
    <xf fontId="35" fillId="0" borderId="32" numFmtId="0" xfId="0" applyFont="1" applyBorder="1" applyAlignment="1">
      <alignment horizontal="left" indent="1" vertical="center" wrapText="1"/>
    </xf>
    <xf fontId="30" fillId="0" borderId="0" numFmtId="0" xfId="0" applyFont="1" applyAlignment="1">
      <alignment vertical="center" wrapText="1"/>
    </xf>
    <xf fontId="31" fillId="0" borderId="0" numFmtId="49" xfId="0" applyNumberFormat="1" applyFont="1" applyAlignment="1">
      <alignment horizontal="center" vertical="center" wrapText="1"/>
    </xf>
    <xf fontId="26" fillId="0" borderId="26" numFmtId="0" xfId="0" applyFont="1" applyBorder="1" applyAlignment="1">
      <alignment vertical="center" wrapText="1"/>
    </xf>
    <xf fontId="26" fillId="0" borderId="45" numFmtId="0" xfId="0" applyFont="1" applyBorder="1" applyAlignment="1">
      <alignment vertical="center" wrapText="1"/>
    </xf>
    <xf fontId="41" fillId="0" borderId="0" numFmtId="0" xfId="0" applyFont="1" applyAlignment="1">
      <alignment horizontal="center" vertical="center" wrapText="1"/>
    </xf>
    <xf fontId="34" fillId="0" borderId="0" numFmtId="49" xfId="0" applyNumberFormat="1" applyFont="1" applyAlignment="1">
      <alignment horizontal="center" vertical="center" wrapText="1"/>
    </xf>
    <xf fontId="96" fillId="0" borderId="0" numFmtId="0" xfId="0" applyFont="1" applyAlignment="1">
      <alignment horizontal="center" vertical="center" wrapText="1"/>
    </xf>
    <xf fontId="97" fillId="39" borderId="0" numFmtId="0" xfId="0" applyFont="1" applyFill="1" applyAlignment="1">
      <alignment horizontal="right" vertical="center"/>
    </xf>
    <xf fontId="98" fillId="0" borderId="0" numFmtId="0" xfId="0" applyFont="1" applyAlignment="1">
      <alignment vertical="center" wrapText="1"/>
    </xf>
    <xf fontId="41" fillId="0" borderId="0" numFmtId="9" xfId="0" applyNumberFormat="1" applyFont="1" applyAlignment="1">
      <alignment horizontal="center" vertical="center" wrapText="1"/>
    </xf>
    <xf fontId="0" fillId="0" borderId="0" numFmtId="0" xfId="0" applyAlignment="1">
      <alignment vertical="top"/>
    </xf>
    <xf fontId="35" fillId="0" borderId="32" numFmtId="49" xfId="0" applyNumberFormat="1" applyFont="1" applyBorder="1" applyAlignment="1">
      <alignment horizontal="center" vertical="center" wrapText="1"/>
    </xf>
    <xf fontId="0" fillId="0" borderId="21" numFmtId="0" xfId="0" applyBorder="1" applyAlignment="1">
      <alignment horizontal="right" indent="1" vertical="center" wrapText="1"/>
    </xf>
    <xf fontId="0" fillId="0" borderId="25" numFmtId="0" xfId="0" applyBorder="1" applyAlignment="1">
      <alignment horizontal="right" indent="1" vertical="center" wrapText="1"/>
    </xf>
    <xf fontId="0" fillId="0" borderId="20" numFmtId="0" xfId="0" applyBorder="1" applyAlignment="1">
      <alignment horizontal="right" indent="1" vertical="center" wrapText="1"/>
    </xf>
    <xf fontId="26" fillId="0" borderId="20" numFmtId="0" xfId="0" applyFont="1" applyBorder="1" applyAlignment="1">
      <alignment horizontal="left" indent="1" vertical="center" wrapText="1"/>
    </xf>
    <xf fontId="35" fillId="0" borderId="28" numFmtId="49" xfId="0" applyNumberFormat="1" applyFont="1" applyBorder="1" applyAlignment="1">
      <alignment vertical="top"/>
    </xf>
    <xf fontId="33" fillId="0" borderId="0" numFmtId="0" xfId="0" applyFont="1" applyAlignment="1">
      <alignment horizontal="center" vertical="top"/>
    </xf>
    <xf fontId="33" fillId="0" borderId="0" numFmtId="0" xfId="0" applyFont="1" applyAlignment="1">
      <alignment vertical="top"/>
    </xf>
    <xf fontId="60" fillId="0" borderId="0" numFmtId="0" xfId="0" applyFont="1" applyAlignment="1">
      <alignment vertical="top"/>
    </xf>
    <xf fontId="99" fillId="0" borderId="0" numFmtId="0" xfId="0" applyFont="1" applyAlignment="1">
      <alignment vertical="top"/>
    </xf>
    <xf fontId="35" fillId="0" borderId="42" numFmtId="49" xfId="0" applyNumberFormat="1" applyFont="1" applyBorder="1" applyAlignment="1">
      <alignment horizontal="center" vertical="center" wrapText="1"/>
    </xf>
    <xf fontId="26" fillId="0" borderId="30" numFmtId="0" xfId="0" applyFont="1" applyBorder="1" applyAlignment="1">
      <alignment horizontal="left" vertical="center" wrapText="1"/>
    </xf>
    <xf fontId="26" fillId="0" borderId="30" numFmtId="2" xfId="0" applyNumberFormat="1" applyFont="1" applyBorder="1" applyAlignment="1">
      <alignment horizontal="center" vertical="center" wrapText="1"/>
    </xf>
    <xf fontId="35" fillId="0" borderId="28" numFmtId="0" xfId="0" applyFont="1" applyBorder="1" applyAlignment="1">
      <alignment vertical="center" wrapText="1"/>
    </xf>
    <xf fontId="35" fillId="0" borderId="30" numFmtId="49" xfId="0" applyNumberFormat="1" applyFont="1" applyBorder="1" applyAlignment="1">
      <alignment horizontal="center" vertical="center" wrapText="1"/>
    </xf>
    <xf fontId="61" fillId="0" borderId="26" numFmtId="49" xfId="0" applyNumberFormat="1" applyFont="1" applyBorder="1" applyAlignment="1">
      <alignment horizontal="right" vertical="center"/>
    </xf>
    <xf fontId="62" fillId="0" borderId="0" numFmtId="0" xfId="0" applyFont="1" applyAlignment="1">
      <alignment horizontal="left" vertical="top" wrapText="1"/>
    </xf>
    <xf fontId="35" fillId="0" borderId="21" numFmtId="0" xfId="0" applyFont="1" applyBorder="1" applyAlignment="1">
      <alignment vertical="center" wrapText="1"/>
    </xf>
    <xf fontId="35" fillId="0" borderId="25" numFmtId="0" xfId="0" applyFont="1" applyBorder="1" applyAlignment="1">
      <alignment horizontal="right" indent="1" vertical="center" wrapText="1"/>
    </xf>
    <xf fontId="35" fillId="0" borderId="20" numFmtId="0" xfId="0" applyFont="1" applyBorder="1" applyAlignment="1">
      <alignment horizontal="right" indent="1" vertical="center" wrapText="1"/>
    </xf>
    <xf fontId="35" fillId="0" borderId="21" numFmtId="0" xfId="0" applyFont="1" applyBorder="1" applyAlignment="1">
      <alignment horizontal="left" vertical="top" wrapText="1"/>
    </xf>
    <xf fontId="26" fillId="0" borderId="46" numFmtId="49" xfId="0" applyNumberFormat="1" applyFont="1" applyBorder="1" applyAlignment="1">
      <alignment horizontal="center" vertical="center" wrapText="1"/>
    </xf>
    <xf fontId="26" fillId="0" borderId="47" numFmtId="49" xfId="0" applyNumberFormat="1" applyFont="1" applyBorder="1" applyAlignment="1">
      <alignment horizontal="center" vertical="center" wrapText="1"/>
    </xf>
    <xf fontId="26" fillId="0" borderId="48" numFmtId="49" xfId="0" applyNumberFormat="1" applyFont="1" applyBorder="1" applyAlignment="1">
      <alignment horizontal="center" vertical="center" wrapText="1"/>
    </xf>
    <xf fontId="26" fillId="38" borderId="32" numFmtId="4" xfId="0" applyNumberFormat="1" applyFont="1" applyFill="1" applyBorder="1" applyAlignment="1">
      <alignment horizontal="right" vertical="center" wrapText="1"/>
      <protection locked="0"/>
    </xf>
    <xf fontId="61" fillId="41" borderId="26" numFmtId="49" xfId="0" applyNumberFormat="1" applyFont="1" applyFill="1" applyBorder="1" applyAlignment="1">
      <alignment horizontal="left" indent="2" vertical="center"/>
    </xf>
    <xf fontId="0" fillId="0" borderId="23" numFmtId="49" xfId="0" applyNumberFormat="1" applyBorder="1" applyAlignment="1">
      <alignment horizontal="left" indent="2" vertical="center" wrapText="1"/>
    </xf>
    <xf fontId="26" fillId="0" borderId="49" numFmtId="49" xfId="0" applyNumberFormat="1" applyFont="1" applyBorder="1" applyAlignment="1">
      <alignment horizontal="center" vertical="center" wrapText="1"/>
    </xf>
    <xf fontId="0" fillId="0" borderId="23" numFmtId="49" xfId="0" applyNumberFormat="1" applyBorder="1" applyAlignment="1">
      <alignment vertical="center" wrapText="1"/>
    </xf>
    <xf fontId="33" fillId="0" borderId="0" numFmtId="49" xfId="0" applyNumberFormat="1" applyFont="1" applyAlignment="1">
      <alignment horizontal="center" vertical="center" wrapText="1"/>
    </xf>
    <xf fontId="35" fillId="0" borderId="45" numFmtId="0" xfId="0" applyFont="1" applyBorder="1" applyAlignment="1">
      <alignment vertical="center" wrapText="1"/>
    </xf>
    <xf fontId="26" fillId="37" borderId="20" numFmtId="0" xfId="0" applyFont="1" applyFill="1" applyBorder="1" applyAlignment="1">
      <alignment horizontal="left" vertical="top" wrapText="1"/>
    </xf>
    <xf fontId="26" fillId="43" borderId="0" numFmtId="49" xfId="0" applyNumberFormat="1" applyFont="1" applyFill="1" applyAlignment="1">
      <alignment horizontal="center" textRotation="90" vertical="center" wrapText="1"/>
    </xf>
    <xf fontId="45" fillId="35" borderId="21" numFmtId="49" xfId="0" applyNumberFormat="1" applyFont="1" applyFill="1" applyBorder="1" applyAlignment="1">
      <alignment horizontal="left" vertical="center" wrapText="1"/>
      <protection locked="0"/>
    </xf>
    <xf fontId="98" fillId="0" borderId="28" numFmtId="0" xfId="0" applyFont="1" applyBorder="1" applyAlignment="1">
      <alignment vertical="center" wrapText="1"/>
    </xf>
    <xf fontId="26" fillId="35" borderId="21" numFmtId="3" xfId="0" applyNumberFormat="1" applyFont="1" applyFill="1" applyBorder="1" applyAlignment="1">
      <alignment horizontal="right" vertical="center" wrapText="1"/>
      <protection locked="0"/>
    </xf>
    <xf fontId="26" fillId="35" borderId="21" numFmtId="4" xfId="0" applyNumberFormat="1" applyFont="1" applyFill="1" applyBorder="1" applyAlignment="1">
      <alignment horizontal="right" vertical="center" wrapText="1"/>
      <protection locked="0"/>
    </xf>
    <xf fontId="62" fillId="35" borderId="23" numFmtId="3" xfId="0" applyNumberFormat="1" applyFont="1" applyFill="1" applyBorder="1" applyAlignment="1">
      <alignment horizontal="right" vertical="center"/>
      <protection locked="0"/>
    </xf>
    <xf fontId="26" fillId="0" borderId="0" numFmtId="0" xfId="0" applyFont="1" applyAlignment="1">
      <alignment vertical="top"/>
    </xf>
    <xf fontId="45" fillId="0" borderId="23" numFmtId="49" xfId="0" applyNumberFormat="1" applyFont="1" applyBorder="1" applyAlignment="1">
      <alignment horizontal="left" vertical="center" wrapText="1"/>
    </xf>
    <xf fontId="26" fillId="0" borderId="50" numFmtId="49" xfId="0" applyNumberFormat="1" applyFont="1" applyBorder="1" applyAlignment="1">
      <alignment horizontal="center" vertical="center" wrapText="1"/>
    </xf>
    <xf fontId="26" fillId="0" borderId="50" numFmtId="0" xfId="0" applyFont="1" applyBorder="1" applyAlignment="1">
      <alignment horizontal="left" vertical="center" wrapText="1"/>
    </xf>
    <xf fontId="26" fillId="0" borderId="51" numFmtId="4" xfId="0" applyNumberFormat="1" applyFont="1" applyBorder="1" applyAlignment="1">
      <alignment horizontal="center" vertical="center" wrapText="1"/>
    </xf>
    <xf fontId="45" fillId="0" borderId="35" numFmtId="49" xfId="0" applyNumberFormat="1" applyFont="1" applyBorder="1" applyAlignment="1">
      <alignment horizontal="left" vertical="center" wrapText="1"/>
    </xf>
    <xf fontId="26" fillId="0" borderId="52" numFmtId="49" xfId="0" applyNumberFormat="1" applyFont="1" applyBorder="1" applyAlignment="1">
      <alignment horizontal="center" vertical="center" wrapText="1"/>
    </xf>
    <xf fontId="26" fillId="0" borderId="53" numFmtId="0" xfId="0" applyFont="1" applyBorder="1" applyAlignment="1">
      <alignment horizontal="left" indent="1" vertical="center" wrapText="1"/>
    </xf>
    <xf fontId="26" fillId="38" borderId="52" numFmtId="4" xfId="0" applyNumberFormat="1" applyFont="1" applyFill="1" applyBorder="1" applyAlignment="1">
      <alignment horizontal="right" vertical="center" wrapText="1"/>
      <protection locked="0"/>
    </xf>
    <xf fontId="45" fillId="0" borderId="21" numFmtId="49" xfId="0" applyNumberFormat="1" applyFont="1" applyBorder="1" applyAlignment="1">
      <alignment horizontal="left" vertical="center" wrapText="1"/>
    </xf>
    <xf fontId="26" fillId="0" borderId="32" numFmtId="4" xfId="0" applyNumberFormat="1" applyFont="1" applyBorder="1" applyAlignment="1">
      <alignment horizontal="center" vertical="center" wrapText="1"/>
    </xf>
    <xf fontId="26" fillId="38" borderId="54" numFmtId="4" xfId="0" applyNumberFormat="1" applyFont="1" applyFill="1" applyBorder="1" applyAlignment="1">
      <alignment horizontal="right" vertical="center" wrapText="1"/>
      <protection locked="0"/>
    </xf>
    <xf fontId="26" fillId="0" borderId="53" numFmtId="0" xfId="0" applyFont="1" applyBorder="1" applyAlignment="1">
      <alignment horizontal="left" vertical="center" wrapText="1"/>
    </xf>
    <xf fontId="45" fillId="0" borderId="25" numFmtId="49" xfId="0" applyNumberFormat="1" applyFont="1" applyBorder="1" applyAlignment="1">
      <alignment horizontal="left" vertical="center" wrapText="1"/>
    </xf>
    <xf fontId="26" fillId="0" borderId="52" numFmtId="0" xfId="0" applyFont="1" applyBorder="1" applyAlignment="1">
      <alignment horizontal="left" indent="1" vertical="center" wrapText="1"/>
    </xf>
    <xf fontId="26" fillId="0" borderId="50" numFmtId="4" xfId="0" applyNumberFormat="1" applyFont="1" applyBorder="1" applyAlignment="1">
      <alignment horizontal="center" vertical="center" wrapText="1"/>
    </xf>
    <xf fontId="26" fillId="0" borderId="52" numFmtId="0" xfId="0" applyFont="1" applyBorder="1" applyAlignment="1">
      <alignment horizontal="left" vertical="center" wrapText="1"/>
    </xf>
    <xf fontId="26" fillId="0" borderId="52" numFmtId="0" xfId="0" applyFont="1" applyBorder="1" applyAlignment="1">
      <alignment horizontal="left" indent="2" vertical="center" wrapText="1"/>
    </xf>
    <xf fontId="26" fillId="0" borderId="52" numFmtId="4" xfId="0" applyNumberFormat="1" applyFont="1" applyBorder="1" applyAlignment="1">
      <alignment horizontal="center" vertical="center" wrapText="1"/>
    </xf>
    <xf fontId="26" fillId="0" borderId="55" numFmtId="49" xfId="0" applyNumberFormat="1" applyFont="1" applyBorder="1" applyAlignment="1">
      <alignment horizontal="center" vertical="center" wrapText="1"/>
    </xf>
    <xf fontId="26" fillId="0" borderId="54" numFmtId="0" xfId="0" applyFont="1" applyBorder="1" applyAlignment="1">
      <alignment horizontal="left" vertical="center" wrapText="1"/>
    </xf>
    <xf fontId="26" fillId="0" borderId="54" numFmtId="4" xfId="0" applyNumberFormat="1" applyFont="1" applyBorder="1" applyAlignment="1">
      <alignment horizontal="center" vertical="center" wrapText="1"/>
    </xf>
    <xf fontId="45" fillId="0" borderId="33" numFmtId="49" xfId="0" applyNumberFormat="1" applyFont="1" applyBorder="1" applyAlignment="1">
      <alignment horizontal="left" vertical="center" wrapText="1"/>
    </xf>
    <xf fontId="26" fillId="0" borderId="53" numFmtId="49" xfId="0" applyNumberFormat="1" applyFont="1" applyBorder="1" applyAlignment="1">
      <alignment horizontal="center" vertical="center" wrapText="1"/>
    </xf>
    <xf fontId="26" fillId="38" borderId="21" numFmtId="4" xfId="0" applyNumberFormat="1" applyFont="1" applyFill="1" applyBorder="1" applyAlignment="1">
      <alignment horizontal="right" vertical="center" wrapText="1"/>
      <protection locked="0"/>
    </xf>
    <xf fontId="26" fillId="38" borderId="53" numFmtId="4" xfId="0" applyNumberFormat="1" applyFont="1" applyFill="1" applyBorder="1" applyAlignment="1">
      <alignment horizontal="right" vertical="center" wrapText="1"/>
      <protection locked="0"/>
    </xf>
    <xf fontId="26" fillId="0" borderId="53" numFmtId="4" xfId="0" applyNumberFormat="1" applyFont="1" applyBorder="1" applyAlignment="1">
      <alignment horizontal="center" vertical="center" wrapText="1"/>
    </xf>
    <xf fontId="26" fillId="38" borderId="55" numFmtId="4" xfId="0" applyNumberFormat="1" applyFont="1" applyFill="1" applyBorder="1" applyAlignment="1">
      <alignment horizontal="right" vertical="center" wrapText="1"/>
      <protection locked="0"/>
    </xf>
    <xf fontId="45" fillId="38" borderId="21" numFmtId="49" xfId="0" applyNumberFormat="1" applyFont="1" applyFill="1" applyBorder="1" applyAlignment="1">
      <alignment horizontal="left" vertical="center" wrapText="1"/>
      <protection locked="0"/>
    </xf>
    <xf fontId="52" fillId="0" borderId="29" numFmtId="0" xfId="0" applyFont="1" applyBorder="1" applyAlignment="1">
      <alignment horizontal="center" vertical="center" wrapText="1"/>
    </xf>
    <xf fontId="0" fillId="0" borderId="21" numFmtId="0" xfId="0" applyBorder="1" applyAlignment="1">
      <alignment horizontal="center" vertical="center"/>
    </xf>
    <xf fontId="0" fillId="35" borderId="23" numFmtId="164" xfId="0" applyNumberFormat="1" applyFill="1" applyBorder="1" applyAlignment="1">
      <alignment horizontal="left" indent="1" vertical="center" wrapText="1"/>
      <protection locked="0"/>
    </xf>
    <xf fontId="26" fillId="39" borderId="21" numFmtId="49" xfId="0" applyNumberFormat="1" applyFont="1" applyFill="1" applyBorder="1" applyAlignment="1">
      <alignment horizontal="left" vertical="center" wrapText="1"/>
    </xf>
    <xf fontId="45" fillId="39" borderId="23" numFmtId="49" xfId="0" applyNumberFormat="1" applyFont="1" applyFill="1" applyBorder="1" applyAlignment="1">
      <alignment horizontal="left" vertical="center" wrapText="1"/>
    </xf>
    <xf fontId="0" fillId="39" borderId="23" numFmtId="164" xfId="0" applyNumberFormat="1" applyFill="1" applyBorder="1" applyAlignment="1">
      <alignment horizontal="left" indent="1" vertical="center" wrapText="1"/>
    </xf>
    <xf fontId="26" fillId="37" borderId="21" numFmtId="0" xfId="0" applyFont="1" applyFill="1" applyBorder="1" applyAlignment="1">
      <alignment horizontal="left" indent="1" vertical="top" wrapText="1"/>
    </xf>
    <xf fontId="26" fillId="37" borderId="20" numFmtId="0" xfId="0" applyFont="1" applyFill="1" applyBorder="1" applyAlignment="1">
      <alignment horizontal="left" indent="1" vertical="top" wrapText="1"/>
    </xf>
    <xf fontId="0" fillId="0" borderId="21" numFmtId="49" xfId="0" applyNumberFormat="1" applyBorder="1" applyAlignment="1">
      <alignment horizontal="center" vertical="center"/>
    </xf>
    <xf fontId="26" fillId="41" borderId="21" numFmtId="0" xfId="0" applyFont="1" applyFill="1" applyBorder="1" applyAlignment="1">
      <alignment vertical="center" wrapText="1"/>
    </xf>
    <xf fontId="26" fillId="41" borderId="26" numFmtId="0" xfId="0" applyFont="1" applyFill="1" applyBorder="1" applyAlignment="1">
      <alignment vertical="center" wrapText="1"/>
    </xf>
    <xf fontId="26" fillId="0" borderId="20" numFmtId="0" xfId="0" applyFont="1" applyBorder="1" applyAlignment="1">
      <alignment vertical="center" wrapText="1"/>
    </xf>
    <xf fontId="26" fillId="41" borderId="45" numFmtId="0" xfId="0" applyFont="1" applyFill="1" applyBorder="1" applyAlignment="1">
      <alignment vertical="center" wrapText="1"/>
    </xf>
    <xf fontId="100" fillId="0" borderId="0" numFmtId="49" xfId="0" applyNumberFormat="1" applyFont="1" applyAlignment="1">
      <alignment horizontal="center" vertical="center" wrapText="1"/>
    </xf>
    <xf fontId="0" fillId="39" borderId="32" numFmtId="0" xfId="0" applyFill="1" applyBorder="1" applyAlignment="1">
      <alignment horizontal="center" vertical="center" wrapText="1"/>
    </xf>
    <xf fontId="0" fillId="0" borderId="23" numFmtId="0" xfId="0" applyBorder="1" applyAlignment="1">
      <alignment horizontal="left" indent="1" vertical="center" wrapText="1"/>
    </xf>
    <xf fontId="26" fillId="0" borderId="21" numFmtId="49" xfId="0" applyNumberFormat="1" applyFont="1" applyBorder="1" applyAlignment="1">
      <alignment horizontal="center" vertical="center" wrapText="1"/>
    </xf>
    <xf fontId="26" fillId="41" borderId="34" numFmtId="0" xfId="0" applyFont="1" applyFill="1" applyBorder="1" applyAlignment="1">
      <alignment vertical="center" wrapText="1"/>
    </xf>
    <xf fontId="26" fillId="39" borderId="19" numFmtId="0" xfId="0" applyFont="1" applyFill="1" applyBorder="1" applyAlignment="1">
      <alignment vertical="center" wrapText="1"/>
    </xf>
    <xf fontId="78" fillId="0" borderId="19" numFmtId="49" xfId="0" applyNumberFormat="1" applyFont="1" applyBorder="1" applyAlignment="1">
      <alignment vertical="top"/>
    </xf>
    <xf fontId="41" fillId="39" borderId="19" numFmtId="0" xfId="0" applyFont="1" applyFill="1" applyBorder="1" applyAlignment="1">
      <alignment horizontal="center" wrapText="1"/>
    </xf>
    <xf fontId="26" fillId="0" borderId="15" numFmtId="0" xfId="0" applyFont="1" applyBorder="1" applyAlignment="1">
      <alignment horizontal="center" vertical="center"/>
    </xf>
    <xf fontId="26" fillId="0" borderId="16" numFmtId="0" xfId="0" applyFont="1" applyBorder="1" applyAlignment="1">
      <alignment horizontal="center" vertical="center"/>
    </xf>
    <xf fontId="26" fillId="0" borderId="17" numFmtId="0" xfId="0" applyFont="1" applyBorder="1" applyAlignment="1">
      <alignment horizontal="center" vertical="center"/>
    </xf>
    <xf fontId="26" fillId="0" borderId="13" numFmtId="0" xfId="0" applyFont="1" applyBorder="1" applyAlignment="1">
      <alignment vertical="center" wrapText="1"/>
    </xf>
    <xf fontId="26" fillId="39" borderId="27" numFmtId="0" xfId="0" applyFont="1" applyFill="1" applyBorder="1" applyAlignment="1">
      <alignment horizontal="center" vertical="center" wrapText="1"/>
    </xf>
    <xf fontId="26" fillId="39" borderId="34" numFmtId="0" xfId="0" applyFont="1" applyFill="1" applyBorder="1" applyAlignment="1">
      <alignment horizontal="center" vertical="center" wrapText="1"/>
    </xf>
    <xf fontId="26" fillId="39" borderId="26" numFmtId="0" xfId="0" applyFont="1" applyFill="1" applyBorder="1" applyAlignment="1">
      <alignment vertical="center" wrapText="1"/>
    </xf>
    <xf fontId="35" fillId="0" borderId="19" numFmtId="0" xfId="0" applyFont="1" applyBorder="1" applyAlignment="1">
      <alignment vertical="center" wrapText="1"/>
    </xf>
    <xf fontId="26" fillId="0" borderId="56" numFmtId="0" xfId="0" applyFont="1" applyBorder="1" applyAlignment="1">
      <alignment horizontal="center" vertical="center"/>
    </xf>
    <xf fontId="26" fillId="0" borderId="44" numFmtId="0" xfId="0" applyFont="1" applyBorder="1" applyAlignment="1">
      <alignment horizontal="center" vertical="center"/>
    </xf>
    <xf fontId="26" fillId="0" borderId="13" numFmtId="0" xfId="0" applyFont="1" applyBorder="1" applyAlignment="1">
      <alignment vertical="center"/>
    </xf>
    <xf fontId="0" fillId="0" borderId="32" numFmtId="49" xfId="0" applyNumberFormat="1" applyBorder="1" applyAlignment="1">
      <alignment horizontal="center" vertical="center" wrapText="1"/>
    </xf>
    <xf fontId="26" fillId="0" borderId="28" numFmtId="49" xfId="0" applyNumberFormat="1" applyFont="1" applyBorder="1" applyAlignment="1">
      <alignment vertical="top"/>
    </xf>
    <xf fontId="0" fillId="0" borderId="42" numFmtId="49" xfId="0" applyNumberFormat="1" applyBorder="1" applyAlignment="1">
      <alignment horizontal="center" vertical="center" wrapText="1"/>
    </xf>
    <xf fontId="0" fillId="37" borderId="23" numFmtId="0" xfId="0" applyFill="1" applyBorder="1" applyAlignment="1">
      <alignment horizontal="center" vertical="center" wrapText="1"/>
    </xf>
    <xf fontId="0" fillId="0" borderId="30" numFmtId="49" xfId="0" applyNumberFormat="1" applyBorder="1" applyAlignment="1">
      <alignment horizontal="center" vertical="center" wrapText="1"/>
    </xf>
    <xf fontId="0" fillId="37" borderId="23" numFmtId="49" xfId="0" applyNumberFormat="1" applyFill="1" applyBorder="1" applyAlignment="1">
      <alignment horizontal="center" vertical="center"/>
    </xf>
    <xf fontId="26" fillId="0" borderId="28" numFmtId="0" xfId="0" applyFont="1" applyBorder="1" applyAlignment="1">
      <alignment vertical="center" wrapText="1"/>
    </xf>
    <xf fontId="0" fillId="37" borderId="23" numFmtId="4" xfId="0" applyNumberFormat="1" applyFill="1" applyBorder="1" applyAlignment="1">
      <alignment horizontal="right" vertical="center" wrapText="1"/>
    </xf>
    <xf fontId="0" fillId="35" borderId="23" numFmtId="4" xfId="0" applyNumberFormat="1" applyFill="1" applyBorder="1" applyAlignment="1">
      <alignment horizontal="right" vertical="center" wrapText="1"/>
      <protection locked="0"/>
    </xf>
    <xf fontId="0" fillId="0" borderId="23" numFmtId="49" xfId="0" applyNumberFormat="1" applyBorder="1" applyAlignment="1">
      <alignment horizontal="left" indent="3" vertical="center" wrapText="1"/>
    </xf>
    <xf fontId="62" fillId="0" borderId="0" numFmtId="49" xfId="0" applyNumberFormat="1" applyFont="1" applyAlignment="1">
      <alignment vertical="center" wrapText="1"/>
    </xf>
    <xf fontId="101" fillId="0" borderId="0" numFmtId="49" xfId="0" applyNumberFormat="1" applyFont="1" applyAlignment="1">
      <alignment vertical="center" wrapText="1"/>
    </xf>
    <xf fontId="62" fillId="0" borderId="0" numFmtId="49" xfId="0" applyNumberFormat="1" applyFont="1" applyAlignment="1">
      <alignment vertical="center"/>
    </xf>
    <xf fontId="101" fillId="0" borderId="0" numFmtId="49" xfId="0" applyNumberFormat="1" applyFont="1" applyAlignment="1">
      <alignment vertical="center"/>
    </xf>
    <xf fontId="62" fillId="0" borderId="0" numFmtId="49" xfId="0" applyNumberFormat="1" applyFont="1" applyAlignment="1">
      <alignment vertical="top"/>
    </xf>
    <xf fontId="31" fillId="0" borderId="0" numFmtId="49" xfId="0" applyNumberFormat="1" applyFont="1" applyAlignment="1">
      <alignment horizontal="center" vertical="top" wrapText="1"/>
    </xf>
    <xf fontId="26" fillId="39" borderId="0" numFmtId="49" xfId="0" applyNumberFormat="1" applyFont="1" applyFill="1" applyAlignment="1">
      <alignment horizontal="center" vertical="top" wrapText="1"/>
    </xf>
    <xf fontId="26" fillId="0" borderId="27" numFmtId="0" xfId="0" applyFont="1" applyBorder="1" applyAlignment="1">
      <alignment horizontal="left" vertical="top" wrapText="1"/>
    </xf>
    <xf fontId="62" fillId="0" borderId="0" numFmtId="49" xfId="0" applyNumberFormat="1" applyFont="1" applyAlignment="1">
      <alignment horizontal="center" vertical="center" wrapText="1"/>
    </xf>
    <xf fontId="101" fillId="0" borderId="0" numFmtId="49" xfId="0" applyNumberFormat="1" applyFont="1" applyAlignment="1">
      <alignment horizontal="center" vertical="center" wrapText="1"/>
    </xf>
    <xf fontId="62" fillId="0" borderId="0" numFmtId="0" xfId="0" applyFont="1" applyAlignment="1">
      <alignment horizontal="center" vertical="center" wrapText="1"/>
    </xf>
    <xf fontId="26" fillId="44" borderId="21" numFmtId="0" xfId="0" applyFont="1" applyFill="1" applyBorder="1" applyAlignment="1">
      <alignment horizontal="center" vertical="center" wrapText="1"/>
    </xf>
    <xf fontId="26" fillId="44" borderId="25" numFmtId="0" xfId="0" applyFont="1" applyFill="1" applyBorder="1" applyAlignment="1">
      <alignment horizontal="center" vertical="center" wrapText="1"/>
    </xf>
    <xf fontId="26" fillId="44" borderId="20" numFmtId="0" xfId="0" applyFont="1" applyFill="1" applyBorder="1" applyAlignment="1">
      <alignment horizontal="center" vertical="center" wrapText="1"/>
    </xf>
    <xf fontId="33" fillId="45" borderId="21" numFmtId="49" xfId="0" applyNumberFormat="1" applyFont="1" applyFill="1" applyBorder="1" applyAlignment="1">
      <alignment horizontal="center" vertical="center" wrapText="1"/>
    </xf>
    <xf fontId="33" fillId="45" borderId="25" numFmtId="49" xfId="0" applyNumberFormat="1" applyFont="1" applyFill="1" applyBorder="1" applyAlignment="1">
      <alignment horizontal="center" vertical="center" wrapText="1"/>
    </xf>
    <xf fontId="33" fillId="45" borderId="20" numFmtId="49" xfId="0" applyNumberFormat="1" applyFont="1" applyFill="1" applyBorder="1" applyAlignment="1">
      <alignment horizontal="center" vertical="center" wrapText="1"/>
    </xf>
    <xf fontId="33" fillId="46" borderId="21" numFmtId="49" xfId="0" applyNumberFormat="1" applyFont="1" applyFill="1" applyBorder="1" applyAlignment="1">
      <alignment horizontal="center" vertical="center" wrapText="1"/>
    </xf>
    <xf fontId="33" fillId="46" borderId="25" numFmtId="49" xfId="0" applyNumberFormat="1" applyFont="1" applyFill="1" applyBorder="1" applyAlignment="1">
      <alignment horizontal="center" vertical="center" wrapText="1"/>
    </xf>
    <xf fontId="33" fillId="46" borderId="20" numFmtId="49" xfId="0" applyNumberFormat="1" applyFont="1" applyFill="1" applyBorder="1" applyAlignment="1">
      <alignment horizontal="center" vertical="center" wrapText="1"/>
    </xf>
    <xf fontId="26" fillId="47" borderId="21" numFmtId="49" xfId="0" applyNumberFormat="1" applyFont="1" applyFill="1" applyBorder="1" applyAlignment="1">
      <alignment horizontal="center" vertical="center" wrapText="1"/>
    </xf>
    <xf fontId="26" fillId="47" borderId="25" numFmtId="49" xfId="0" applyNumberFormat="1" applyFont="1" applyFill="1" applyBorder="1" applyAlignment="1">
      <alignment horizontal="center" vertical="center" wrapText="1"/>
    </xf>
    <xf fontId="26" fillId="48" borderId="26" numFmtId="49" xfId="0" applyNumberFormat="1" applyFont="1" applyFill="1" applyBorder="1" applyAlignment="1">
      <alignment horizontal="center" vertical="center" wrapText="1"/>
    </xf>
    <xf fontId="26" fillId="48" borderId="0" numFmtId="49" xfId="0" applyNumberFormat="1" applyFont="1" applyFill="1" applyAlignment="1">
      <alignment horizontal="center" vertical="center" wrapText="1"/>
    </xf>
    <xf fontId="26" fillId="0" borderId="25" numFmtId="49" xfId="0" applyNumberFormat="1" applyFont="1" applyBorder="1" applyAlignment="1">
      <alignment horizontal="center" vertical="center" wrapText="1"/>
    </xf>
    <xf fontId="26" fillId="0" borderId="20" numFmtId="49" xfId="0" applyNumberFormat="1" applyFont="1" applyBorder="1" applyAlignment="1">
      <alignment horizontal="center" vertical="center" wrapText="1"/>
    </xf>
    <xf fontId="62" fillId="39" borderId="0" numFmtId="49" xfId="0" applyNumberFormat="1" applyFont="1" applyFill="1" applyAlignment="1">
      <alignment vertical="center" wrapText="1"/>
    </xf>
    <xf fontId="26" fillId="48" borderId="23" numFmtId="49" xfId="0" applyNumberFormat="1" applyFont="1" applyFill="1" applyBorder="1" applyAlignment="1">
      <alignment horizontal="center" vertical="center" wrapText="1"/>
    </xf>
    <xf fontId="26" fillId="48" borderId="23" numFmtId="0" xfId="0" applyFont="1" applyFill="1" applyBorder="1" applyAlignment="1">
      <alignment horizontal="center" vertical="center" wrapText="1"/>
    </xf>
    <xf fontId="26" fillId="48" borderId="21" numFmtId="0" xfId="0" applyFont="1" applyFill="1" applyBorder="1" applyAlignment="1">
      <alignment horizontal="center" vertical="center" wrapText="1"/>
    </xf>
    <xf fontId="26" fillId="39" borderId="21" numFmtId="0" xfId="0" applyFont="1" applyFill="1" applyBorder="1" applyAlignment="1">
      <alignment horizontal="center" vertical="center" wrapText="1"/>
    </xf>
    <xf fontId="26" fillId="39" borderId="25" numFmtId="0" xfId="0" applyFont="1" applyFill="1" applyBorder="1" applyAlignment="1">
      <alignment horizontal="center" vertical="center" wrapText="1"/>
    </xf>
    <xf fontId="26" fillId="39" borderId="20" numFmtId="0" xfId="0" applyFont="1" applyFill="1" applyBorder="1" applyAlignment="1">
      <alignment horizontal="center" vertical="center" wrapText="1"/>
    </xf>
    <xf fontId="26" fillId="48" borderId="20" numFmtId="0" xfId="0" applyFont="1" applyFill="1" applyBorder="1" applyAlignment="1">
      <alignment horizontal="center" vertical="center" wrapText="1"/>
    </xf>
    <xf fontId="26" fillId="48" borderId="45" numFmtId="49" xfId="0" applyNumberFormat="1" applyFont="1" applyFill="1" applyBorder="1" applyAlignment="1">
      <alignment horizontal="center" vertical="center" wrapText="1"/>
    </xf>
    <xf fontId="62" fillId="39" borderId="0" numFmtId="49" xfId="0" applyNumberFormat="1" applyFont="1" applyFill="1" applyAlignment="1">
      <alignment vertical="center"/>
    </xf>
    <xf fontId="58" fillId="0" borderId="23" numFmtId="49" xfId="0" applyNumberFormat="1" applyFont="1" applyBorder="1" applyAlignment="1">
      <alignment horizontal="center" vertical="center"/>
    </xf>
    <xf fontId="58" fillId="48" borderId="23" numFmtId="49" xfId="0" applyNumberFormat="1" applyFont="1" applyFill="1" applyBorder="1" applyAlignment="1">
      <alignment horizontal="center" vertical="center"/>
    </xf>
    <xf fontId="58" fillId="0" borderId="23" numFmtId="0" xfId="0" applyFont="1" applyBorder="1" applyAlignment="1">
      <alignment horizontal="center" vertical="center"/>
    </xf>
    <xf fontId="58" fillId="0" borderId="30" numFmtId="49" xfId="0" applyNumberFormat="1" applyFont="1" applyBorder="1" applyAlignment="1">
      <alignment horizontal="center" vertical="center"/>
    </xf>
    <xf fontId="26" fillId="0" borderId="0" numFmtId="49" xfId="0" applyNumberFormat="1" applyFont="1" applyAlignment="1">
      <alignment vertical="center"/>
    </xf>
    <xf fontId="33" fillId="0" borderId="32" numFmtId="49" xfId="0" applyNumberFormat="1" applyFont="1" applyBorder="1" applyAlignment="1">
      <alignment horizontal="center" vertical="center"/>
    </xf>
    <xf fontId="26" fillId="0" borderId="32" numFmtId="0" xfId="0" applyFont="1" applyBorder="1" applyAlignment="1">
      <alignment horizontal="right" vertical="center"/>
    </xf>
    <xf fontId="26" fillId="0" borderId="32" numFmtId="0" xfId="0" applyFont="1" applyBorder="1" applyAlignment="1">
      <alignment horizontal="center" vertical="center"/>
    </xf>
    <xf fontId="26" fillId="0" borderId="23" numFmtId="0" xfId="0" applyFont="1" applyBorder="1" applyAlignment="1">
      <alignment horizontal="right" vertical="center"/>
    </xf>
    <xf fontId="62" fillId="39" borderId="0" numFmtId="4" xfId="0" applyNumberFormat="1" applyFont="1" applyFill="1" applyAlignment="1">
      <alignment vertical="center"/>
    </xf>
    <xf fontId="63" fillId="0" borderId="0" numFmtId="49" xfId="0" applyNumberFormat="1" applyFont="1" applyAlignment="1">
      <alignment vertical="center" wrapText="1"/>
    </xf>
    <xf fontId="26" fillId="38" borderId="21" numFmtId="3" xfId="0" applyNumberFormat="1" applyFont="1" applyFill="1" applyBorder="1" applyAlignment="1">
      <alignment vertical="center" wrapText="1"/>
      <protection locked="0"/>
    </xf>
    <xf fontId="26" fillId="0" borderId="23" numFmtId="0" xfId="0" applyFont="1" applyBorder="1" applyAlignment="1">
      <alignment vertical="top" wrapText="1"/>
    </xf>
    <xf fontId="26" fillId="37" borderId="21" numFmtId="4" xfId="0" applyNumberFormat="1" applyFont="1" applyFill="1" applyBorder="1" applyAlignment="1">
      <alignment horizontal="right" vertical="center" wrapText="1"/>
    </xf>
    <xf fontId="33" fillId="0" borderId="23" numFmtId="0" xfId="0" applyFont="1" applyBorder="1" applyAlignment="1">
      <alignment vertical="top" wrapText="1"/>
    </xf>
    <xf fontId="26" fillId="38" borderId="23" numFmtId="49" xfId="0" applyNumberFormat="1" applyFont="1" applyFill="1" applyBorder="1" applyAlignment="1">
      <alignment horizontal="left" indent="1" vertical="center" wrapText="1"/>
      <protection locked="0"/>
    </xf>
    <xf fontId="26" fillId="0" borderId="0" numFmtId="0" xfId="0" applyFont="1" applyAlignment="1">
      <alignment horizontal="left" indent="2" vertical="center" wrapText="1"/>
    </xf>
    <xf fontId="26" fillId="39" borderId="0" numFmtId="0" xfId="0" applyFont="1" applyFill="1" applyAlignment="1">
      <alignment horizontal="right" vertical="center" wrapText="1"/>
    </xf>
    <xf fontId="26" fillId="39" borderId="0" numFmtId="0" xfId="0" applyFont="1" applyFill="1" applyAlignment="1">
      <alignment horizontal="right" vertical="center"/>
    </xf>
    <xf fontId="26" fillId="39" borderId="23" numFmtId="0" xfId="0" applyFont="1" applyFill="1" applyBorder="1" applyAlignment="1">
      <alignment horizontal="center" vertical="center"/>
    </xf>
    <xf fontId="0" fillId="0" borderId="23" numFmtId="0" xfId="0" applyBorder="1" applyAlignment="1">
      <alignment vertical="center" wrapText="1"/>
    </xf>
    <xf fontId="0" fillId="38" borderId="23" numFmtId="0" xfId="0" applyFill="1" applyBorder="1" applyAlignment="1">
      <alignment horizontal="left" indent="2" vertical="center" wrapText="1"/>
      <protection locked="0"/>
    </xf>
    <xf fontId="102" fillId="41" borderId="20" numFmtId="49" xfId="0" applyNumberFormat="1" applyFont="1" applyFill="1" applyBorder="1" applyAlignment="1">
      <alignment horizontal="center" vertical="top"/>
    </xf>
    <xf fontId="102" fillId="41" borderId="25" numFmtId="49" xfId="0" applyNumberFormat="1" applyFont="1" applyFill="1" applyBorder="1" applyAlignment="1">
      <alignment horizontal="center" vertical="top"/>
    </xf>
    <xf fontId="73" fillId="0" borderId="23" numFmtId="49" xfId="0" applyNumberFormat="1" applyFont="1" applyBorder="1" applyAlignment="1">
      <alignment horizontal="center" vertical="center" wrapText="1"/>
    </xf>
    <xf fontId="73" fillId="0" borderId="23" numFmtId="0" xfId="0" applyFont="1" applyBorder="1" applyAlignment="1">
      <alignment horizontal="left" indent="2" vertical="center" wrapText="1"/>
    </xf>
    <xf fontId="103" fillId="0" borderId="21" numFmtId="49" xfId="0" applyNumberFormat="1" applyFont="1" applyBorder="1" applyAlignment="1">
      <alignment horizontal="left" vertical="center" wrapText="1"/>
    </xf>
    <xf fontId="26" fillId="0" borderId="32" numFmtId="0" xfId="0" applyFont="1" applyBorder="1" applyAlignment="1">
      <alignment vertical="top" wrapText="1"/>
    </xf>
    <xf fontId="104" fillId="0" borderId="0" numFmtId="49" xfId="0" applyNumberFormat="1" applyFont="1" applyAlignment="1">
      <alignment horizontal="center" vertical="center" wrapText="1"/>
    </xf>
    <xf fontId="0" fillId="38" borderId="23" numFmtId="0" xfId="0" applyFill="1" applyBorder="1" applyAlignment="1">
      <alignment horizontal="left" vertical="center" wrapText="1"/>
      <protection locked="0"/>
    </xf>
    <xf fontId="0" fillId="0" borderId="23" numFmtId="0" xfId="0" applyBorder="1" applyAlignment="1">
      <alignment horizontal="left" indent="2" vertical="center" wrapText="1"/>
    </xf>
    <xf fontId="0" fillId="0" borderId="23" numFmtId="0" xfId="0" applyBorder="1" applyAlignment="1">
      <alignment horizontal="left" vertical="center" wrapText="1"/>
    </xf>
    <xf fontId="0" fillId="38" borderId="23" numFmtId="164" xfId="0" applyNumberFormat="1" applyFill="1" applyBorder="1" applyAlignment="1">
      <alignment horizontal="left" vertical="center" wrapText="1"/>
      <protection locked="0"/>
    </xf>
    <xf fontId="0" fillId="38" borderId="20" numFmtId="164" xfId="0" applyNumberFormat="1" applyFill="1" applyBorder="1" applyAlignment="1">
      <alignment horizontal="left" vertical="center" wrapText="1"/>
      <protection locked="0"/>
    </xf>
    <xf fontId="0" fillId="38" borderId="21" numFmtId="164" xfId="0" applyNumberFormat="1" applyFill="1" applyBorder="1" applyAlignment="1">
      <alignment horizontal="left" vertical="center" wrapText="1"/>
      <protection locked="0"/>
    </xf>
    <xf fontId="26" fillId="40" borderId="23" numFmtId="0" xfId="0" applyFont="1" applyFill="1" applyBorder="1" applyAlignment="1">
      <alignment horizontal="left" vertical="center" wrapText="1"/>
    </xf>
    <xf fontId="26" fillId="0" borderId="25" numFmtId="0" xfId="0" applyFont="1" applyBorder="1" applyAlignment="1">
      <alignment horizontal="left" indent="1" vertical="top" wrapText="1"/>
    </xf>
    <xf fontId="0" fillId="39" borderId="21" numFmtId="0" xfId="0" applyFill="1" applyBorder="1" applyAlignment="1">
      <alignment horizontal="right" indent="1" vertical="center" wrapText="1"/>
    </xf>
    <xf fontId="58" fillId="39" borderId="26" numFmtId="49" xfId="0" applyNumberFormat="1" applyFont="1" applyFill="1" applyBorder="1" applyAlignment="1">
      <alignment horizontal="center" vertical="center" wrapText="1"/>
    </xf>
    <xf fontId="0" fillId="39" borderId="32" numFmtId="49" xfId="0" applyNumberFormat="1" applyFill="1" applyBorder="1" applyAlignment="1">
      <alignment horizontal="center" vertical="center" wrapText="1"/>
    </xf>
    <xf fontId="0" fillId="0" borderId="32" numFmtId="0" xfId="0" applyBorder="1" applyAlignment="1">
      <alignment horizontal="left" vertical="center" wrapText="1"/>
    </xf>
    <xf fontId="86" fillId="39" borderId="0" numFmtId="0" xfId="0" applyFont="1" applyFill="1" applyAlignment="1">
      <alignment horizontal="center" vertical="top" wrapText="1"/>
    </xf>
    <xf fontId="0" fillId="37" borderId="21" numFmtId="0" xfId="0" applyFill="1" applyBorder="1" applyAlignment="1">
      <alignment horizontal="left" indent="1" vertical="center" wrapText="1"/>
    </xf>
    <xf fontId="61" fillId="41" borderId="45" numFmtId="49" xfId="0" applyNumberFormat="1" applyFont="1" applyFill="1" applyBorder="1" applyAlignment="1">
      <alignment horizontal="left" indent="2" vertical="center"/>
    </xf>
    <xf fontId="86" fillId="39" borderId="29" numFmtId="0" xfId="0" applyFont="1" applyFill="1" applyBorder="1" applyAlignment="1">
      <alignment horizontal="center" vertical="top" wrapText="1"/>
    </xf>
    <xf fontId="0" fillId="39" borderId="30" numFmtId="49" xfId="0" applyNumberFormat="1" applyFill="1" applyBorder="1" applyAlignment="1">
      <alignment horizontal="center" vertical="center" wrapText="1"/>
    </xf>
    <xf fontId="0" fillId="37" borderId="30" numFmtId="0" xfId="0" applyFill="1" applyBorder="1" applyAlignment="1">
      <alignment horizontal="left" indent="1" vertical="center" wrapText="1"/>
    </xf>
    <xf fontId="0" fillId="39" borderId="21" numFmtId="49" xfId="0" applyNumberFormat="1" applyFill="1" applyBorder="1" applyAlignment="1">
      <alignment horizontal="center" vertical="center" wrapText="1"/>
    </xf>
    <xf fontId="26" fillId="0" borderId="26" numFmtId="49" xfId="0" applyNumberFormat="1" applyFont="1" applyBorder="1" applyAlignment="1">
      <alignment vertical="top"/>
    </xf>
    <xf fontId="25" fillId="0" borderId="0" numFmtId="0" xfId="0" applyFont="1" applyAlignment="1">
      <alignment horizontal="right" vertical="top" wrapText="1"/>
    </xf>
    <xf fontId="0" fillId="0" borderId="23" numFmtId="0" xfId="0" applyBorder="1" applyAlignment="1">
      <alignment horizontal="left" vertical="top" wrapText="1"/>
    </xf>
    <xf fontId="61" fillId="0" borderId="26" numFmtId="49" xfId="0" applyNumberFormat="1" applyFont="1" applyBorder="1" applyAlignment="1">
      <alignment horizontal="left" vertical="center"/>
    </xf>
    <xf fontId="61" fillId="0" borderId="26" numFmtId="49" xfId="0" applyNumberFormat="1" applyFont="1" applyBorder="1" applyAlignment="1">
      <alignment horizontal="left" indent="2" vertical="center"/>
    </xf>
    <xf fontId="102" fillId="0" borderId="26" numFmtId="49" xfId="0" applyNumberFormat="1" applyFont="1" applyBorder="1" applyAlignment="1">
      <alignment horizontal="center" vertical="top"/>
    </xf>
    <xf fontId="26" fillId="0" borderId="26" numFmtId="0" xfId="0" applyFont="1" applyBorder="1" applyAlignment="1">
      <alignment horizontal="left" vertical="top" wrapText="1"/>
    </xf>
    <xf fontId="26" fillId="0" borderId="21" numFmtId="3" xfId="0" applyNumberFormat="1" applyFont="1" applyBorder="1" applyAlignment="1">
      <alignment vertical="center" wrapText="1"/>
    </xf>
    <xf fontId="26" fillId="0" borderId="21" numFmtId="4" xfId="0" applyNumberFormat="1" applyFont="1" applyBorder="1" applyAlignment="1">
      <alignment horizontal="right" vertical="center" wrapText="1"/>
    </xf>
    <xf fontId="45" fillId="0" borderId="0" numFmtId="0" xfId="0" applyFont="1" applyAlignment="1">
      <alignment vertical="center" wrapText="1"/>
    </xf>
    <xf fontId="52" fillId="0" borderId="0" numFmtId="49" xfId="0" applyNumberFormat="1" applyFont="1" applyAlignment="1">
      <alignment horizontal="center" vertical="center"/>
    </xf>
    <xf fontId="105" fillId="39" borderId="0" numFmtId="0" xfId="0" applyFont="1" applyFill="1" applyAlignment="1">
      <alignment horizontal="center" vertical="center" wrapText="1"/>
    </xf>
    <xf fontId="31" fillId="39" borderId="0" numFmtId="0" xfId="0" applyFont="1" applyFill="1"/>
    <xf fontId="35" fillId="0" borderId="0" numFmtId="0" xfId="0" applyFont="1" applyAlignment="1">
      <alignment vertical="top"/>
    </xf>
    <xf fontId="26" fillId="0" borderId="0" numFmtId="49" xfId="0" applyNumberFormat="1" applyFont="1" applyAlignment="1">
      <alignment horizontal="left" vertical="top" wrapText="1"/>
    </xf>
    <xf fontId="26" fillId="0" borderId="0" numFmtId="0" xfId="0" applyFont="1"/>
    <xf fontId="52" fillId="0" borderId="0" numFmtId="0" xfId="0" applyFont="1" applyAlignment="1">
      <alignment horizontal="center" vertical="center"/>
    </xf>
    <xf fontId="52" fillId="39" borderId="0" numFmtId="0" xfId="0" applyFont="1" applyFill="1" applyAlignment="1">
      <alignment horizontal="center" vertical="center"/>
    </xf>
    <xf fontId="26" fillId="0" borderId="21" numFmtId="0" xfId="0" applyFont="1" applyBorder="1" applyAlignment="1">
      <alignment horizontal="left" indent="1" vertical="center" wrapText="1"/>
    </xf>
    <xf fontId="72" fillId="0" borderId="0" numFmtId="0" xfId="0" applyFont="1"/>
    <xf fontId="26" fillId="39" borderId="32" numFmtId="0" xfId="0" applyFont="1" applyFill="1" applyBorder="1" applyAlignment="1">
      <alignment horizontal="center" vertical="center"/>
    </xf>
    <xf fontId="26" fillId="0" borderId="32" numFmtId="49" xfId="0" applyNumberFormat="1" applyFont="1" applyBorder="1" applyAlignment="1">
      <alignment horizontal="left" vertical="center" wrapText="1"/>
    </xf>
    <xf fontId="61" fillId="41" borderId="20" numFmtId="49" xfId="0" applyNumberFormat="1" applyFont="1" applyFill="1" applyBorder="1" applyAlignment="1">
      <alignment horizontal="left" vertical="center"/>
    </xf>
    <xf fontId="62" fillId="0" borderId="0" numFmtId="49" xfId="0" applyNumberFormat="1" applyFont="1" applyAlignment="1">
      <alignment horizontal="right" vertical="top"/>
    </xf>
    <xf fontId="26" fillId="39" borderId="23" numFmtId="49" xfId="0" applyNumberFormat="1" applyFont="1" applyFill="1" applyBorder="1" applyAlignment="1">
      <alignment horizontal="center" vertical="center"/>
    </xf>
    <xf fontId="33" fillId="39" borderId="0" numFmtId="0" xfId="0" applyFont="1" applyFill="1"/>
    <xf fontId="26" fillId="38" borderId="23" numFmtId="0" xfId="0" applyFont="1" applyFill="1" applyBorder="1" applyAlignment="1">
      <alignment horizontal="left" vertical="center" wrapText="1"/>
      <protection locked="0"/>
    </xf>
    <xf fontId="90" fillId="39" borderId="0" numFmtId="0" xfId="0" applyFont="1" applyFill="1"/>
    <xf fontId="35" fillId="39" borderId="0" numFmtId="0" xfId="0" applyFont="1" applyFill="1" applyAlignment="1">
      <alignment horizontal="center" vertical="center" wrapText="1"/>
    </xf>
    <xf fontId="0" fillId="39" borderId="32" numFmtId="0" xfId="0" applyFill="1" applyBorder="1" applyAlignment="1">
      <alignment horizontal="left" vertical="top" wrapText="1"/>
    </xf>
    <xf fontId="73" fillId="39" borderId="0" numFmtId="0" xfId="0" applyFont="1" applyFill="1"/>
    <xf fontId="54" fillId="39" borderId="0" numFmtId="0" xfId="0" applyFont="1" applyFill="1" applyAlignment="1">
      <alignment vertical="center" wrapText="1"/>
    </xf>
    <xf fontId="35" fillId="39" borderId="23" numFmtId="0" xfId="0" applyFont="1" applyFill="1" applyBorder="1" applyAlignment="1">
      <alignment horizontal="center" vertical="center"/>
    </xf>
    <xf fontId="0" fillId="39" borderId="42" numFmtId="0" xfId="0" applyFill="1" applyBorder="1" applyAlignment="1">
      <alignment horizontal="left" vertical="top" wrapText="1"/>
    </xf>
    <xf fontId="0" fillId="39" borderId="30" numFmtId="0" xfId="0" applyFill="1" applyBorder="1" applyAlignment="1">
      <alignment horizontal="left" vertical="top" wrapText="1"/>
    </xf>
    <xf fontId="94" fillId="39" borderId="0" numFmtId="0" xfId="0" applyFont="1" applyFill="1"/>
    <xf fontId="26" fillId="38" borderId="23" numFmtId="14" xfId="0" applyNumberFormat="1" applyFont="1" applyFill="1" applyBorder="1" applyAlignment="1">
      <alignment horizontal="left" indent="1" vertical="center" wrapText="1"/>
      <protection locked="0"/>
    </xf>
    <xf fontId="106" fillId="0" borderId="0" numFmtId="0" xfId="0" applyFont="1" applyAlignment="1">
      <alignment vertical="center"/>
    </xf>
    <xf fontId="26" fillId="0" borderId="33" numFmtId="165" xfId="0" applyNumberFormat="1" applyFont="1" applyBorder="1" applyAlignment="1">
      <alignment horizontal="center" vertical="center" wrapText="1"/>
    </xf>
    <xf fontId="26" fillId="0" borderId="32" numFmtId="165" xfId="0" applyNumberFormat="1" applyFont="1" applyBorder="1" applyAlignment="1">
      <alignment horizontal="center" vertical="center" wrapText="1"/>
    </xf>
    <xf fontId="26" fillId="0" borderId="30" numFmtId="4" xfId="0" applyNumberFormat="1" applyFont="1" applyBorder="1" applyAlignment="1">
      <alignment horizontal="center" vertical="center" wrapText="1"/>
    </xf>
    <xf fontId="26" fillId="40" borderId="23" numFmtId="14" xfId="0" applyNumberFormat="1" applyFont="1" applyFill="1" applyBorder="1" applyAlignment="1">
      <alignment horizontal="left" vertical="center" wrapText="1"/>
    </xf>
    <xf fontId="26" fillId="0" borderId="27" numFmtId="49" xfId="0" applyNumberFormat="1" applyFont="1" applyBorder="1" applyAlignment="1">
      <alignment horizontal="left" vertical="top" wrapText="1"/>
    </xf>
    <xf fontId="41" fillId="41" borderId="35" numFmtId="49" xfId="0" applyNumberFormat="1" applyFont="1" applyFill="1" applyBorder="1" applyAlignment="1">
      <alignment horizontal="right" vertical="center" wrapText="1"/>
    </xf>
    <xf fontId="0" fillId="41" borderId="45" numFmtId="49" xfId="0" applyNumberFormat="1" applyFill="1" applyBorder="1" applyAlignment="1">
      <alignment horizontal="right" vertical="center" wrapText="1"/>
    </xf>
    <xf fontId="26" fillId="0" borderId="34" numFmtId="49" xfId="0" applyNumberFormat="1" applyFont="1" applyBorder="1" applyAlignment="1">
      <alignment horizontal="left" vertical="top" wrapText="1"/>
    </xf>
    <xf fontId="106" fillId="0" borderId="0" numFmtId="0" xfId="0" applyFont="1" applyAlignment="1">
      <alignment vertical="center" wrapText="1"/>
    </xf>
    <xf fontId="26" fillId="37" borderId="30" numFmtId="0" xfId="0" applyFont="1" applyFill="1" applyBorder="1" applyAlignment="1">
      <alignment horizontal="left" indent="1" vertical="center" wrapText="1"/>
    </xf>
    <xf fontId="35" fillId="0" borderId="0" numFmtId="164" xfId="0" applyNumberFormat="1" applyFont="1" applyAlignment="1">
      <alignment horizontal="center" vertical="center" wrapText="1"/>
    </xf>
    <xf fontId="26" fillId="0" borderId="25" numFmtId="165" xfId="0" applyNumberFormat="1" applyFont="1" applyBorder="1" applyAlignment="1">
      <alignment horizontal="center" vertical="center" wrapText="1"/>
    </xf>
    <xf fontId="26" fillId="0" borderId="20" numFmtId="165" xfId="0" applyNumberFormat="1" applyFont="1" applyBorder="1" applyAlignment="1">
      <alignment horizontal="center" vertical="center" wrapText="1"/>
    </xf>
    <xf fontId="26" fillId="0" borderId="42" numFmtId="4" xfId="0" applyNumberFormat="1" applyFont="1" applyBorder="1" applyAlignment="1">
      <alignment horizontal="center" vertical="center" wrapText="1"/>
    </xf>
    <xf fontId="26" fillId="0" borderId="30" numFmtId="165" xfId="0" applyNumberFormat="1" applyFont="1" applyBorder="1" applyAlignment="1">
      <alignment horizontal="center" vertical="center" wrapText="1"/>
    </xf>
    <xf fontId="26" fillId="38" borderId="30" numFmtId="14" xfId="0" applyNumberFormat="1" applyFont="1" applyFill="1" applyBorder="1" applyAlignment="1">
      <alignment horizontal="left" indent="1" vertical="center" wrapText="1"/>
      <protection locked="0"/>
    </xf>
    <xf fontId="26" fillId="37" borderId="23" numFmtId="0" xfId="0" applyFont="1" applyFill="1" applyBorder="1" applyAlignment="1">
      <alignment horizontal="left" vertical="center" wrapText="1"/>
    </xf>
    <xf fontId="41" fillId="41" borderId="45" numFmtId="49" xfId="0" applyNumberFormat="1" applyFont="1" applyFill="1" applyBorder="1" applyAlignment="1">
      <alignment horizontal="right" vertical="center" wrapText="1"/>
    </xf>
    <xf fontId="45" fillId="41" borderId="45" numFmtId="49" xfId="0" applyNumberFormat="1" applyFont="1" applyFill="1" applyBorder="1" applyAlignment="1">
      <alignment horizontal="left" vertical="center" wrapText="1"/>
    </xf>
    <xf fontId="45" fillId="41" borderId="30" numFmtId="49" xfId="0" applyNumberFormat="1" applyFont="1" applyFill="1" applyBorder="1" applyAlignment="1">
      <alignment horizontal="left" vertical="center" wrapText="1"/>
    </xf>
    <xf fontId="35" fillId="0" borderId="45" numFmtId="0" xfId="0" applyFont="1" applyBorder="1" applyAlignment="1">
      <alignment horizontal="center" vertical="center" wrapText="1"/>
    </xf>
    <xf fontId="57" fillId="0" borderId="0" numFmtId="0" xfId="0" applyFont="1" applyAlignment="1">
      <alignment horizontal="center" vertical="center" wrapText="1"/>
    </xf>
    <xf fontId="62" fillId="0" borderId="57" numFmtId="165" xfId="0" applyNumberFormat="1" applyFont="1" applyBorder="1" applyAlignment="1">
      <alignment horizontal="center" vertical="center" wrapText="1"/>
    </xf>
    <xf fontId="62" fillId="0" borderId="58" numFmtId="165" xfId="0" applyNumberFormat="1" applyFont="1" applyBorder="1" applyAlignment="1">
      <alignment horizontal="center" vertical="center" wrapText="1"/>
    </xf>
    <xf fontId="62" fillId="0" borderId="59" numFmtId="165" xfId="0" applyNumberFormat="1" applyFont="1" applyBorder="1" applyAlignment="1">
      <alignment horizontal="center" vertical="center" wrapText="1"/>
    </xf>
    <xf fontId="62" fillId="0" borderId="60" numFmtId="165" xfId="0" applyNumberFormat="1" applyFont="1" applyBorder="1" applyAlignment="1">
      <alignment horizontal="center" vertical="center" wrapText="1"/>
    </xf>
    <xf fontId="53" fillId="0" borderId="0" numFmtId="0" xfId="0" applyFont="1" applyAlignment="1">
      <alignment horizontal="center" vertical="center"/>
    </xf>
    <xf fontId="26" fillId="37" borderId="30" numFmtId="0" xfId="0" applyFont="1" applyFill="1" applyBorder="1" applyAlignment="1">
      <alignment horizontal="left" vertical="center" wrapText="1"/>
    </xf>
    <xf fontId="26" fillId="40" borderId="35" numFmtId="49" xfId="0" applyNumberFormat="1" applyFont="1" applyFill="1" applyBorder="1" applyAlignment="1">
      <alignment horizontal="left" vertical="center" wrapText="1"/>
    </xf>
    <xf fontId="45" fillId="38" borderId="45" numFmtId="49" xfId="0" applyNumberFormat="1" applyFont="1" applyFill="1" applyBorder="1" applyAlignment="1">
      <alignment horizontal="left" vertical="center" wrapText="1"/>
      <protection locked="0"/>
    </xf>
    <xf fontId="45" fillId="38" borderId="35" numFmtId="49" xfId="0" applyNumberFormat="1" applyFont="1" applyFill="1" applyBorder="1" applyAlignment="1">
      <alignment horizontal="left" vertical="center" wrapText="1"/>
      <protection locked="0"/>
    </xf>
    <xf fontId="45" fillId="38" borderId="30" numFmtId="49" xfId="0" applyNumberFormat="1" applyFont="1" applyFill="1" applyBorder="1" applyAlignment="1">
      <alignment horizontal="left" vertical="center" wrapText="1"/>
      <protection locked="0"/>
    </xf>
    <xf fontId="26" fillId="40" borderId="30" numFmtId="49" xfId="0" applyNumberFormat="1" applyFont="1" applyFill="1" applyBorder="1" applyAlignment="1">
      <alignment horizontal="left" vertical="center" wrapText="1"/>
    </xf>
    <xf fontId="0" fillId="41" borderId="23" numFmtId="49" xfId="0" applyNumberFormat="1" applyFill="1" applyBorder="1" applyAlignment="1">
      <alignment horizontal="right" vertical="center" wrapText="1"/>
    </xf>
    <xf fontId="52" fillId="39" borderId="0" numFmtId="0" xfId="0" applyFont="1" applyFill="1" applyAlignment="1">
      <alignment horizontal="center"/>
    </xf>
    <xf fontId="0" fillId="0" borderId="25" numFmtId="49" xfId="0" applyNumberFormat="1" applyBorder="1" applyAlignment="1">
      <alignment horizontal="left" indent="1" vertical="center"/>
    </xf>
    <xf fontId="79" fillId="0" borderId="0" numFmtId="49" xfId="0" applyNumberFormat="1" applyFont="1" applyAlignment="1">
      <alignment vertical="top"/>
    </xf>
    <xf fontId="0" fillId="0" borderId="61" numFmtId="49" xfId="0" applyNumberFormat="1" applyBorder="1" applyAlignment="1">
      <alignment horizontal="center" vertical="center"/>
    </xf>
    <xf fontId="0" fillId="49" borderId="0" numFmtId="49" xfId="0" applyNumberFormat="1" applyFill="1" applyAlignment="1">
      <alignment vertical="top"/>
    </xf>
    <xf fontId="80" fillId="49" borderId="0" numFmtId="49" xfId="0" applyNumberFormat="1" applyFont="1" applyFill="1" applyAlignment="1">
      <alignment vertical="top"/>
    </xf>
    <xf fontId="80" fillId="0" borderId="0" numFmtId="49" xfId="0" applyNumberFormat="1" applyFont="1" applyAlignment="1">
      <alignment vertical="top"/>
    </xf>
    <xf fontId="58" fillId="0" borderId="29" numFmtId="0" xfId="0" applyFont="1" applyBorder="1" applyAlignment="1">
      <alignment horizontal="center" vertical="center" wrapText="1"/>
    </xf>
    <xf fontId="71" fillId="0" borderId="32" numFmtId="14" xfId="0" applyNumberFormat="1" applyFont="1" applyBorder="1" applyAlignment="1">
      <alignment horizontal="center" vertical="center" wrapText="1"/>
    </xf>
    <xf fontId="69" fillId="0" borderId="23" numFmtId="0" xfId="0" applyFont="1" applyBorder="1" applyAlignment="1">
      <alignment horizontal="left" indent="1" vertical="center" wrapText="1"/>
    </xf>
    <xf fontId="71" fillId="0" borderId="32" numFmtId="0" xfId="0" applyFont="1" applyBorder="1" applyAlignment="1">
      <alignment horizontal="center" vertical="center" wrapText="1"/>
    </xf>
    <xf fontId="60" fillId="0" borderId="0" numFmtId="0" xfId="0" applyFont="1" applyAlignment="1">
      <alignment vertical="center"/>
    </xf>
    <xf fontId="71" fillId="0" borderId="42" numFmtId="14" xfId="0" applyNumberFormat="1" applyFont="1" applyBorder="1" applyAlignment="1">
      <alignment horizontal="center" vertical="center" wrapText="1"/>
    </xf>
    <xf fontId="69" fillId="0" borderId="23" numFmtId="0" xfId="0" applyFont="1" applyBorder="1" applyAlignment="1">
      <alignment horizontal="left" indent="1" vertical="top"/>
    </xf>
    <xf fontId="58" fillId="0" borderId="23" numFmtId="0" xfId="0" applyFont="1" applyBorder="1" applyAlignment="1">
      <alignment horizontal="center" vertical="center" wrapText="1"/>
    </xf>
    <xf fontId="69" fillId="38" borderId="23" numFmtId="49" xfId="0" applyNumberFormat="1" applyFont="1" applyFill="1" applyBorder="1" applyAlignment="1">
      <alignment horizontal="left" indent="1" vertical="center" wrapText="1"/>
      <protection locked="0"/>
    </xf>
    <xf fontId="26" fillId="39" borderId="0" numFmtId="0" xfId="0" applyFont="1" applyFill="1" applyAlignment="1">
      <alignment horizontal="center" vertical="top" wrapText="1"/>
    </xf>
    <xf fontId="35" fillId="39" borderId="23" numFmtId="0" xfId="0" applyFont="1" applyFill="1" applyBorder="1" applyAlignment="1">
      <alignment horizontal="center" vertical="center" wrapText="1"/>
    </xf>
    <xf fontId="26" fillId="40" borderId="34" numFmtId="14" xfId="0" applyNumberFormat="1" applyFont="1" applyFill="1" applyBorder="1" applyAlignment="1">
      <alignment horizontal="left" vertical="center" wrapText="1"/>
    </xf>
    <xf fontId="107" fillId="38" borderId="23" numFmtId="49" xfId="0" applyNumberFormat="1" applyFont="1" applyFill="1" applyBorder="1" applyAlignment="1">
      <alignment horizontal="left" vertical="center" wrapText="1"/>
      <protection locked="0"/>
    </xf>
    <xf fontId="0" fillId="38" borderId="21" numFmtId="0" xfId="0" applyFill="1" applyBorder="1" applyAlignment="1">
      <alignment horizontal="left" indent="2" vertical="center" wrapText="1"/>
      <protection locked="0"/>
    </xf>
    <xf fontId="26" fillId="0" borderId="23" numFmtId="49" xfId="0" applyNumberFormat="1" applyFont="1" applyBorder="1" applyAlignment="1">
      <alignment horizontal="center" vertical="top" wrapText="1"/>
    </xf>
    <xf fontId="0" fillId="37" borderId="23" numFmtId="0" xfId="0" applyFill="1" applyBorder="1" applyAlignment="1">
      <alignment horizontal="left" indent="1" vertical="top" wrapText="1"/>
    </xf>
    <xf fontId="26" fillId="40" borderId="32" numFmtId="49" xfId="0" applyNumberFormat="1" applyFont="1" applyFill="1" applyBorder="1" applyAlignment="1">
      <alignment horizontal="center" vertical="top" wrapText="1"/>
    </xf>
    <xf fontId="0" fillId="38" borderId="23" numFmtId="164" xfId="0" applyNumberFormat="1" applyFill="1" applyBorder="1" applyAlignment="1">
      <alignment horizontal="center" vertical="top" wrapText="1"/>
      <protection locked="0"/>
    </xf>
    <xf fontId="0" fillId="35" borderId="23" numFmtId="164" xfId="0" applyNumberFormat="1" applyFill="1" applyBorder="1" applyAlignment="1">
      <alignment horizontal="center" vertical="top" wrapText="1"/>
      <protection locked="0"/>
    </xf>
    <xf fontId="26" fillId="40" borderId="23" numFmtId="49" xfId="0" applyNumberFormat="1" applyFont="1" applyFill="1" applyBorder="1" applyAlignment="1">
      <alignment horizontal="left" vertical="top" wrapText="1"/>
    </xf>
    <xf fontId="26" fillId="38" borderId="23" numFmtId="49" xfId="0" applyNumberFormat="1" applyFont="1" applyFill="1" applyBorder="1" applyAlignment="1">
      <alignment horizontal="left" vertical="top" wrapText="1"/>
      <protection locked="0"/>
    </xf>
    <xf fontId="0" fillId="37" borderId="23" numFmtId="49" xfId="0" applyNumberFormat="1" applyFill="1" applyBorder="1" applyAlignment="1">
      <alignment horizontal="center" vertical="top" wrapText="1"/>
    </xf>
    <xf fontId="26" fillId="37" borderId="23" numFmtId="0" xfId="0" applyFont="1" applyFill="1" applyBorder="1" applyAlignment="1">
      <alignment horizontal="center" vertical="top" wrapText="1"/>
    </xf>
    <xf fontId="26" fillId="35" borderId="23" numFmtId="0" xfId="0" applyFont="1" applyFill="1" applyBorder="1" applyAlignment="1">
      <alignment horizontal="left" vertical="top" wrapText="1"/>
      <protection locked="0"/>
    </xf>
    <xf fontId="26" fillId="40" borderId="23" numFmtId="49" xfId="0" applyNumberFormat="1" applyFont="1" applyFill="1" applyBorder="1" applyAlignment="1">
      <alignment horizontal="center" vertical="top" wrapText="1"/>
    </xf>
    <xf fontId="26" fillId="38" borderId="32" numFmtId="49" xfId="0" applyNumberFormat="1" applyFont="1" applyFill="1" applyBorder="1" applyAlignment="1">
      <alignment horizontal="left" indent="1" vertical="center" wrapText="1"/>
      <protection locked="0"/>
    </xf>
    <xf fontId="26" fillId="0" borderId="29" numFmtId="0" xfId="0" applyFont="1" applyBorder="1" applyAlignment="1">
      <alignment vertical="top" wrapText="1"/>
    </xf>
    <xf fontId="26" fillId="40" borderId="30" numFmtId="49" xfId="0" applyNumberFormat="1" applyFont="1" applyFill="1" applyBorder="1" applyAlignment="1">
      <alignment horizontal="center" vertical="top" wrapText="1"/>
    </xf>
    <xf fontId="0" fillId="38" borderId="23" numFmtId="49" xfId="0" applyNumberFormat="1" applyFill="1" applyBorder="1" applyAlignment="1">
      <alignment horizontal="center" vertical="top" wrapText="1"/>
      <protection locked="0"/>
    </xf>
    <xf fontId="0" fillId="35" borderId="23" numFmtId="49" xfId="0" applyNumberFormat="1" applyFill="1" applyBorder="1" applyAlignment="1">
      <alignment horizontal="center" vertical="top" wrapText="1"/>
      <protection locked="0"/>
    </xf>
    <xf fontId="26" fillId="40" borderId="21" numFmtId="49" xfId="0" applyNumberFormat="1" applyFont="1" applyFill="1" applyBorder="1" applyAlignment="1">
      <alignment horizontal="center" vertical="top" wrapText="1"/>
    </xf>
    <xf fontId="26" fillId="0" borderId="42" numFmtId="49" xfId="0" applyNumberFormat="1" applyFont="1" applyBorder="1" applyAlignment="1">
      <alignment horizontal="center" vertical="top" wrapText="1"/>
    </xf>
    <xf fontId="0" fillId="37" borderId="42" numFmtId="0" xfId="0" applyFill="1" applyBorder="1" applyAlignment="1">
      <alignment horizontal="left" indent="1" vertical="top" wrapText="1"/>
    </xf>
    <xf fontId="26" fillId="40" borderId="42" numFmtId="49" xfId="0" applyNumberFormat="1" applyFont="1" applyFill="1" applyBorder="1" applyAlignment="1">
      <alignment horizontal="center" vertical="top" wrapText="1"/>
    </xf>
    <xf fontId="0" fillId="38" borderId="42" numFmtId="49" xfId="0" applyNumberFormat="1" applyFill="1" applyBorder="1" applyAlignment="1">
      <alignment horizontal="center" vertical="top" wrapText="1"/>
      <protection locked="0"/>
    </xf>
    <xf fontId="0" fillId="35" borderId="42" numFmtId="49" xfId="0" applyNumberFormat="1" applyFill="1" applyBorder="1" applyAlignment="1">
      <alignment horizontal="center" vertical="top" wrapText="1"/>
      <protection locked="0"/>
    </xf>
    <xf fontId="26" fillId="40" borderId="42" numFmtId="49" xfId="0" applyNumberFormat="1" applyFont="1" applyFill="1" applyBorder="1" applyAlignment="1">
      <alignment horizontal="left" vertical="top" wrapText="1"/>
    </xf>
    <xf fontId="26" fillId="38" borderId="42" numFmtId="49" xfId="0" applyNumberFormat="1" applyFont="1" applyFill="1" applyBorder="1" applyAlignment="1">
      <alignment horizontal="left" vertical="top" wrapText="1"/>
      <protection locked="0"/>
    </xf>
    <xf fontId="0" fillId="37" borderId="42" numFmtId="49" xfId="0" applyNumberFormat="1" applyFill="1" applyBorder="1" applyAlignment="1">
      <alignment horizontal="center" vertical="top" wrapText="1"/>
    </xf>
    <xf fontId="26" fillId="37" borderId="42" numFmtId="0" xfId="0" applyFont="1" applyFill="1" applyBorder="1" applyAlignment="1">
      <alignment horizontal="center" vertical="top" wrapText="1"/>
    </xf>
    <xf fontId="26" fillId="35" borderId="42" numFmtId="0" xfId="0" applyFont="1" applyFill="1" applyBorder="1" applyAlignment="1">
      <alignment horizontal="left" vertical="top" wrapText="1"/>
      <protection locked="0"/>
    </xf>
    <xf fontId="108" fillId="0" borderId="62" numFmtId="0" xfId="0" applyFont="1" applyBorder="1" applyAlignment="1">
      <alignment horizontal="left" indent="1" vertical="center"/>
    </xf>
    <xf fontId="108" fillId="0" borderId="63" numFmtId="0" xfId="0" applyFont="1" applyBorder="1" applyAlignment="1">
      <alignment horizontal="left" indent="1" vertical="center"/>
    </xf>
    <xf fontId="0" fillId="0" borderId="63" numFmtId="0" xfId="0" applyBorder="1" applyAlignment="1">
      <alignment horizontal="left" vertical="center" wrapText="1"/>
    </xf>
    <xf fontId="26" fillId="0" borderId="63" numFmtId="0" xfId="0" applyFont="1" applyBorder="1" applyAlignment="1">
      <alignment vertical="center" wrapText="1"/>
    </xf>
    <xf fontId="26" fillId="0" borderId="64" numFmtId="0" xfId="0" applyFont="1" applyBorder="1" applyAlignment="1">
      <alignment vertical="center" wrapText="1"/>
    </xf>
    <xf fontId="26" fillId="0" borderId="65" numFmtId="0" xfId="0" applyFont="1" applyBorder="1" applyAlignment="1">
      <alignment vertical="center" wrapText="1"/>
    </xf>
    <xf fontId="26" fillId="40" borderId="20" numFmtId="49" xfId="0" applyNumberFormat="1" applyFont="1" applyFill="1" applyBorder="1" applyAlignment="1">
      <alignment horizontal="left" vertical="center" wrapText="1"/>
    </xf>
    <xf fontId="26" fillId="40" borderId="21" numFmtId="49" xfId="0" applyNumberFormat="1" applyFont="1" applyFill="1" applyBorder="1" applyAlignment="1">
      <alignment horizontal="center" vertical="center" wrapText="1"/>
    </xf>
    <xf fontId="109" fillId="41" borderId="44" numFmtId="49" xfId="0" applyNumberFormat="1" applyFont="1" applyFill="1" applyBorder="1" applyAlignment="1">
      <alignment horizontal="left" indent="1" vertical="center"/>
    </xf>
    <xf fontId="63" fillId="41" borderId="44" numFmtId="49" xfId="0" applyNumberFormat="1" applyFont="1" applyFill="1" applyBorder="1" applyAlignment="1">
      <alignment horizontal="center" vertical="center"/>
    </xf>
    <xf fontId="26" fillId="38" borderId="23" numFmtId="3" xfId="0" applyNumberFormat="1" applyFont="1" applyFill="1" applyBorder="1" applyAlignment="1">
      <alignment horizontal="center" vertical="center" wrapText="1"/>
      <protection locked="0"/>
    </xf>
    <xf fontId="110" fillId="0" borderId="20" numFmtId="49" xfId="0" applyNumberFormat="1" applyFont="1" applyBorder="1" applyAlignment="1">
      <alignment horizontal="center" vertical="center" wrapText="1"/>
    </xf>
    <xf fontId="62" fillId="0" borderId="23" numFmtId="0" xfId="0" applyFont="1" applyBorder="1" applyAlignment="1">
      <alignment horizontal="center" vertical="center"/>
    </xf>
    <xf fontId="26" fillId="40" borderId="32" numFmtId="49" xfId="0" applyNumberFormat="1" applyFont="1" applyFill="1" applyBorder="1" applyAlignment="1">
      <alignment horizontal="left" indent="1" vertical="center" wrapText="1"/>
    </xf>
    <xf fontId="109" fillId="41" borderId="21" numFmtId="49" xfId="0" applyNumberFormat="1" applyFont="1" applyFill="1" applyBorder="1" applyAlignment="1">
      <alignment horizontal="left" indent="1" vertical="center"/>
    </xf>
    <xf fontId="109" fillId="41" borderId="25" numFmtId="49" xfId="0" applyNumberFormat="1" applyFont="1" applyFill="1" applyBorder="1" applyAlignment="1">
      <alignment horizontal="left" indent="1" vertical="center"/>
    </xf>
    <xf fontId="62" fillId="41" borderId="25" numFmtId="49" xfId="0" applyNumberFormat="1" applyFont="1" applyFill="1" applyBorder="1" applyAlignment="1">
      <alignment vertical="top" wrapText="1"/>
    </xf>
    <xf fontId="62" fillId="41" borderId="20" numFmtId="49" xfId="0" applyNumberFormat="1" applyFont="1" applyFill="1" applyBorder="1" applyAlignment="1">
      <alignment vertical="top" wrapText="1"/>
    </xf>
    <xf fontId="26" fillId="40" borderId="42" numFmtId="49" xfId="0" applyNumberFormat="1" applyFont="1" applyFill="1" applyBorder="1" applyAlignment="1">
      <alignment horizontal="left" indent="1" vertical="center" wrapText="1"/>
    </xf>
    <xf fontId="26" fillId="37" borderId="23" numFmtId="49" xfId="0" applyNumberFormat="1" applyFont="1" applyFill="1" applyBorder="1" applyAlignment="1">
      <alignment horizontal="left" vertical="center" wrapText="1"/>
    </xf>
    <xf fontId="110" fillId="0" borderId="0" numFmtId="49" xfId="0" applyNumberFormat="1" applyFont="1" applyAlignment="1">
      <alignment horizontal="center" vertical="top" wrapText="1"/>
    </xf>
    <xf fontId="62" fillId="40" borderId="23" numFmtId="0" xfId="0" applyFont="1" applyFill="1" applyBorder="1" applyAlignment="1">
      <alignment horizontal="left" indent="1" vertical="center" wrapText="1"/>
    </xf>
    <xf fontId="26" fillId="40" borderId="30" numFmtId="49" xfId="0" applyNumberFormat="1" applyFont="1" applyFill="1" applyBorder="1" applyAlignment="1">
      <alignment horizontal="left" indent="1" vertical="center" wrapText="1"/>
    </xf>
    <xf fontId="62" fillId="41" borderId="66" numFmtId="49" xfId="0" applyNumberFormat="1" applyFont="1" applyFill="1" applyBorder="1" applyAlignment="1">
      <alignment vertical="top" wrapText="1"/>
    </xf>
    <xf fontId="109" fillId="41" borderId="66" numFmtId="49" xfId="0" applyNumberFormat="1" applyFont="1" applyFill="1" applyBorder="1" applyAlignment="1">
      <alignment horizontal="left" indent="1" vertical="center"/>
    </xf>
    <xf fontId="26" fillId="37" borderId="57" numFmtId="49" xfId="0" applyNumberFormat="1" applyFont="1" applyFill="1" applyBorder="1" applyAlignment="1">
      <alignment horizontal="center" vertical="center" wrapText="1"/>
    </xf>
    <xf fontId="0" fillId="41" borderId="67" numFmtId="0" xfId="0" applyFill="1" applyBorder="1" applyAlignment="1">
      <alignment horizontal="left" vertical="center"/>
    </xf>
    <xf fontId="61" fillId="41" borderId="59" numFmtId="49" xfId="0" applyNumberFormat="1" applyFont="1" applyFill="1" applyBorder="1" applyAlignment="1">
      <alignment horizontal="left" indent="1" vertical="center"/>
    </xf>
    <xf fontId="26" fillId="41" borderId="67" numFmtId="0" xfId="0" applyFont="1" applyFill="1" applyBorder="1" applyAlignment="1">
      <alignment vertical="center" wrapText="1"/>
    </xf>
    <xf fontId="26" fillId="41" borderId="59" numFmtId="0" xfId="0" applyFont="1" applyFill="1" applyBorder="1" applyAlignment="1">
      <alignment vertical="center" wrapText="1"/>
    </xf>
    <xf fontId="26" fillId="41" borderId="68" numFmtId="0" xfId="0" applyFont="1" applyFill="1" applyBorder="1" applyAlignment="1">
      <alignment vertical="center" wrapText="1"/>
    </xf>
    <xf fontId="0" fillId="37" borderId="42" numFmtId="49" xfId="0" applyNumberFormat="1" applyFill="1" applyBorder="1" applyAlignment="1">
      <alignment vertical="top"/>
    </xf>
    <xf fontId="0" fillId="0" borderId="42" numFmtId="49" xfId="0" applyNumberFormat="1" applyBorder="1" applyAlignment="1">
      <alignment vertical="top"/>
    </xf>
    <xf fontId="26" fillId="40" borderId="32" numFmtId="49" xfId="0" applyNumberFormat="1" applyFont="1" applyFill="1" applyBorder="1" applyAlignment="1">
      <alignment vertical="center" wrapText="1"/>
    </xf>
    <xf fontId="0" fillId="38" borderId="42" numFmtId="49" xfId="0" applyNumberFormat="1" applyFill="1" applyBorder="1" applyAlignment="1">
      <alignment vertical="top"/>
      <protection locked="0"/>
    </xf>
    <xf fontId="110" fillId="0" borderId="23" numFmtId="49" xfId="0" applyNumberFormat="1" applyFont="1" applyBorder="1" applyAlignment="1">
      <alignment horizontal="center" vertical="center" wrapText="1"/>
    </xf>
    <xf fontId="0" fillId="38" borderId="32" numFmtId="49" xfId="0" applyNumberFormat="1" applyFill="1" applyBorder="1" applyAlignment="1">
      <alignment vertical="top"/>
      <protection locked="0"/>
    </xf>
    <xf fontId="26" fillId="40" borderId="42" numFmtId="14" xfId="0" applyNumberFormat="1" applyFont="1" applyFill="1" applyBorder="1" applyAlignment="1">
      <alignment horizontal="left" indent="1" vertical="center" wrapText="1"/>
    </xf>
    <xf fontId="26" fillId="40" borderId="42" numFmtId="49" xfId="0" applyNumberFormat="1" applyFont="1" applyFill="1" applyBorder="1" applyAlignment="1">
      <alignment vertical="center" wrapText="1"/>
    </xf>
    <xf fontId="26" fillId="40" borderId="30" numFmtId="49" xfId="0" applyNumberFormat="1" applyFont="1" applyFill="1" applyBorder="1" applyAlignment="1">
      <alignment vertical="center" wrapText="1"/>
    </xf>
    <xf fontId="0" fillId="38" borderId="30" numFmtId="49" xfId="0" applyNumberFormat="1" applyFill="1" applyBorder="1" applyAlignment="1">
      <alignment vertical="top"/>
      <protection locked="0"/>
    </xf>
    <xf fontId="110" fillId="0" borderId="42" numFmtId="49" xfId="0" applyNumberFormat="1" applyFont="1" applyBorder="1" applyAlignment="1">
      <alignment horizontal="center" vertical="top" wrapText="1"/>
    </xf>
    <xf fontId="62" fillId="0" borderId="20" numFmtId="0" xfId="0" applyFont="1" applyBorder="1" applyAlignment="1">
      <alignment horizontal="center" vertical="center"/>
    </xf>
    <xf fontId="108" fillId="0" borderId="69" numFmtId="0" xfId="0" applyFont="1" applyBorder="1" applyAlignment="1">
      <alignment horizontal="left" indent="1" vertical="center"/>
    </xf>
    <xf fontId="26" fillId="0" borderId="70" numFmtId="49" xfId="0" applyNumberFormat="1" applyFont="1" applyBorder="1" applyAlignment="1">
      <alignment horizontal="center" vertical="center"/>
    </xf>
    <xf fontId="26" fillId="0" borderId="70" numFmtId="0" xfId="0" applyFont="1" applyBorder="1" applyAlignment="1">
      <alignment horizontal="right" vertical="center"/>
    </xf>
    <xf fontId="26" fillId="0" borderId="70" numFmtId="0" xfId="0" applyFont="1" applyBorder="1" applyAlignment="1">
      <alignment horizontal="center" vertical="center"/>
    </xf>
    <xf fontId="26" fillId="0" borderId="25" numFmtId="0" xfId="0" applyFont="1" applyBorder="1" applyAlignment="1">
      <alignment horizontal="right" vertical="center"/>
    </xf>
    <xf fontId="26" fillId="0" borderId="20" numFmtId="0" xfId="0" applyFont="1" applyBorder="1" applyAlignment="1">
      <alignment horizontal="right" vertical="center"/>
    </xf>
    <xf fontId="26" fillId="35" borderId="23" numFmtId="0" xfId="0" applyFont="1" applyFill="1" applyBorder="1" applyAlignment="1">
      <alignment horizontal="left" indent="1" vertical="center"/>
      <protection locked="0"/>
    </xf>
    <xf fontId="26" fillId="48" borderId="23" numFmtId="0" xfId="0" applyFont="1" applyFill="1" applyBorder="1" applyAlignment="1">
      <alignment horizontal="right" vertical="center"/>
    </xf>
    <xf fontId="26" fillId="35" borderId="23" numFmtId="3" xfId="0" applyNumberFormat="1" applyFont="1" applyFill="1" applyBorder="1" applyAlignment="1">
      <alignment horizontal="right" vertical="center"/>
      <protection locked="0"/>
    </xf>
    <xf fontId="26" fillId="35" borderId="23" numFmtId="4" xfId="0" applyNumberFormat="1" applyFont="1" applyFill="1" applyBorder="1" applyAlignment="1">
      <alignment horizontal="right" vertical="center"/>
      <protection locked="0"/>
    </xf>
    <xf fontId="61" fillId="41" borderId="58" numFmtId="49" xfId="0" applyNumberFormat="1" applyFont="1" applyFill="1" applyBorder="1" applyAlignment="1">
      <alignment horizontal="left" indent="1" vertical="center"/>
    </xf>
    <xf fontId="61" fillId="50" borderId="20" numFmtId="49" xfId="0" applyNumberFormat="1" applyFont="1" applyFill="1" applyBorder="1" applyAlignment="1">
      <alignment horizontal="left" indent="1" vertical="center"/>
    </xf>
    <xf fontId="26" fillId="0" borderId="42" numFmtId="49" xfId="0" applyNumberFormat="1" applyFont="1" applyBorder="1" applyAlignment="1">
      <alignment horizontal="center" vertical="center" wrapText="1"/>
    </xf>
    <xf fontId="61" fillId="0" borderId="23" numFmtId="0" xfId="0" applyFont="1" applyBorder="1" applyAlignment="1">
      <alignment horizontal="left" indent="1" vertical="center"/>
    </xf>
    <xf fontId="26" fillId="0" borderId="30" numFmtId="49" xfId="0" applyNumberFormat="1" applyFont="1" applyBorder="1" applyAlignment="1">
      <alignment horizontal="center" vertical="center" wrapText="1"/>
    </xf>
    <xf fontId="35" fillId="0" borderId="30" numFmtId="0" xfId="0" applyFont="1" applyBorder="1" applyAlignment="1">
      <alignment vertical="center" wrapText="1"/>
    </xf>
    <xf fontId="35" fillId="0" borderId="30" numFmtId="2" xfId="0" applyNumberFormat="1" applyFont="1" applyBorder="1" applyAlignment="1">
      <alignment horizontal="center" vertical="center" wrapText="1"/>
    </xf>
    <xf fontId="35" fillId="0" borderId="0" numFmtId="0" xfId="0" applyFont="1" applyAlignment="1">
      <alignment horizontal="center" vertical="top"/>
    </xf>
    <xf fontId="35" fillId="0" borderId="21" numFmtId="49" xfId="0" applyNumberFormat="1" applyFont="1" applyBorder="1" applyAlignment="1">
      <alignment horizontal="left" vertical="center"/>
    </xf>
    <xf fontId="35" fillId="0" borderId="25" numFmtId="49" xfId="0" applyNumberFormat="1" applyFont="1" applyBorder="1" applyAlignment="1">
      <alignment horizontal="left" indent="1" vertical="center"/>
    </xf>
    <xf fontId="35" fillId="0" borderId="25" numFmtId="49" xfId="0" applyNumberFormat="1" applyFont="1" applyBorder="1" applyAlignment="1">
      <alignment horizontal="left" vertical="center"/>
    </xf>
    <xf fontId="35" fillId="0" borderId="20" numFmtId="49" xfId="0" applyNumberFormat="1" applyFont="1" applyBorder="1" applyAlignment="1">
      <alignment horizontal="left" indent="1" vertical="center"/>
    </xf>
    <xf fontId="35" fillId="0" borderId="23" numFmtId="0" xfId="0" applyFont="1" applyBorder="1" applyAlignment="1">
      <alignment horizontal="left" indent="1" vertical="center"/>
    </xf>
    <xf fontId="0" fillId="0" borderId="26" numFmtId="49" xfId="0" applyNumberFormat="1" applyBorder="1" applyAlignment="1">
      <alignment vertical="top"/>
    </xf>
    <xf fontId="52" fillId="0" borderId="32" numFmtId="49" xfId="0" applyNumberFormat="1" applyFont="1" applyBorder="1" applyAlignment="1">
      <alignment horizontal="center" vertical="top" wrapText="1"/>
    </xf>
    <xf fontId="26" fillId="38" borderId="21" numFmtId="49" xfId="0" applyNumberFormat="1" applyFont="1" applyFill="1" applyBorder="1" applyAlignment="1">
      <alignment horizontal="left" indent="1" vertical="center" wrapText="1"/>
      <protection locked="0"/>
    </xf>
    <xf fontId="0" fillId="0" borderId="20" numFmtId="49" xfId="0" applyNumberFormat="1" applyBorder="1" applyAlignment="1">
      <alignment horizontal="center" vertical="center" wrapText="1"/>
    </xf>
    <xf fontId="0" fillId="38" borderId="21" numFmtId="49" xfId="0" applyNumberFormat="1" applyFill="1" applyBorder="1" applyAlignment="1">
      <alignment horizontal="left" vertical="center" wrapText="1"/>
      <protection locked="0"/>
    </xf>
    <xf fontId="0" fillId="0" borderId="34" numFmtId="49" xfId="0" applyNumberFormat="1" applyBorder="1" applyAlignment="1">
      <alignment horizontal="center" vertical="center" wrapText="1"/>
    </xf>
    <xf fontId="0" fillId="41" borderId="35" numFmtId="49" xfId="0" applyNumberFormat="1" applyFill="1" applyBorder="1" applyAlignment="1">
      <alignment horizontal="center" vertical="center"/>
    </xf>
    <xf fontId="0" fillId="41" borderId="25" numFmtId="49" xfId="0" applyNumberFormat="1" applyFill="1" applyBorder="1" applyAlignment="1">
      <alignment horizontal="center" vertical="center"/>
    </xf>
    <xf fontId="26" fillId="0" borderId="30" numFmtId="49" xfId="0" applyNumberFormat="1" applyFont="1" applyBorder="1" applyAlignment="1">
      <alignment horizontal="center" vertical="top" wrapText="1"/>
    </xf>
    <xf fontId="0" fillId="0" borderId="28" numFmtId="49" xfId="0" applyNumberFormat="1" applyBorder="1" applyAlignment="1">
      <alignment vertical="top"/>
    </xf>
    <xf fontId="0" fillId="0" borderId="29" numFmtId="49" xfId="0" applyNumberFormat="1" applyBorder="1" applyAlignment="1">
      <alignment vertical="top"/>
    </xf>
    <xf fontId="26" fillId="40" borderId="23" numFmtId="0" xfId="0" applyFont="1" applyFill="1" applyBorder="1" applyAlignment="1">
      <alignment horizontal="left" vertical="top" wrapText="1"/>
    </xf>
    <xf fontId="0" fillId="40" borderId="23" numFmtId="0" xfId="0" applyFill="1" applyBorder="1" applyAlignment="1">
      <alignment horizontal="left" vertical="center" wrapText="1"/>
      <protection locked="0"/>
    </xf>
    <xf fontId="61" fillId="41" borderId="21" numFmtId="0" xfId="0" applyFont="1" applyFill="1" applyBorder="1" applyAlignment="1">
      <alignment horizontal="left" vertical="center"/>
    </xf>
    <xf fontId="61" fillId="41" borderId="25" numFmtId="0" xfId="0" applyFont="1" applyFill="1" applyBorder="1" applyAlignment="1">
      <alignment horizontal="left" vertical="center"/>
    </xf>
    <xf fontId="61" fillId="41" borderId="20" numFmtId="0" xfId="0" applyFont="1" applyFill="1" applyBorder="1" applyAlignment="1">
      <alignment horizontal="left" vertical="center"/>
    </xf>
    <xf fontId="0" fillId="40" borderId="23" numFmtId="49" xfId="0" applyNumberFormat="1" applyFill="1" applyBorder="1" applyAlignment="1">
      <alignment horizontal="left" vertical="top"/>
    </xf>
    <xf fontId="0" fillId="35" borderId="23" numFmtId="49" xfId="0" applyNumberFormat="1" applyFill="1" applyBorder="1" applyAlignment="1">
      <alignment horizontal="left" vertical="top"/>
      <protection locked="0"/>
    </xf>
    <xf fontId="0" fillId="40" borderId="23" numFmtId="49" xfId="0" applyNumberFormat="1" applyFill="1" applyBorder="1" applyAlignment="1">
      <alignment horizontal="left" vertical="center" wrapText="1"/>
      <protection locked="0"/>
    </xf>
    <xf fontId="0" fillId="41" borderId="25" numFmtId="0" xfId="0" applyFill="1" applyBorder="1" applyAlignment="1">
      <alignment vertical="center"/>
    </xf>
    <xf fontId="0" fillId="0" borderId="42" numFmtId="49" xfId="0" applyNumberFormat="1" applyBorder="1" applyAlignment="1">
      <alignment horizontal="left" vertical="top"/>
    </xf>
    <xf fontId="0" fillId="40" borderId="42" numFmtId="49" xfId="0" applyNumberFormat="1" applyFill="1" applyBorder="1" applyAlignment="1">
      <alignment horizontal="left" vertical="top"/>
    </xf>
    <xf fontId="0" fillId="35" borderId="42" numFmtId="49" xfId="0" applyNumberFormat="1" applyFill="1" applyBorder="1" applyAlignment="1">
      <alignment horizontal="left" vertical="top"/>
      <protection locked="0"/>
    </xf>
    <xf fontId="26" fillId="40" borderId="0" numFmtId="49" xfId="0" applyNumberFormat="1" applyFont="1" applyFill="1" applyAlignment="1">
      <alignment horizontal="center" vertical="center" wrapText="1"/>
    </xf>
    <xf fontId="61" fillId="0" borderId="42" numFmtId="0" xfId="0" applyFont="1" applyBorder="1" applyAlignment="1">
      <alignment horizontal="left" vertical="center"/>
    </xf>
    <xf fontId="0" fillId="40" borderId="42" numFmtId="49" xfId="0" applyNumberFormat="1" applyFill="1" applyBorder="1" applyAlignment="1">
      <alignment horizontal="left" vertical="center" wrapText="1"/>
      <protection locked="0"/>
    </xf>
    <xf fontId="61" fillId="35" borderId="42" numFmtId="0" xfId="0" applyFont="1" applyFill="1" applyBorder="1" applyAlignment="1">
      <alignment horizontal="left" vertical="center"/>
      <protection locked="0"/>
    </xf>
    <xf fontId="61" fillId="38" borderId="42" numFmtId="0" xfId="0" applyFont="1" applyFill="1" applyBorder="1" applyAlignment="1">
      <alignment horizontal="left" vertical="center"/>
      <protection locked="0"/>
    </xf>
    <xf fontId="35" fillId="0" borderId="21" numFmtId="49" xfId="0" applyNumberFormat="1" applyFont="1" applyBorder="1" applyAlignment="1">
      <alignment horizontal="left" vertical="center" wrapText="1"/>
    </xf>
    <xf fontId="35" fillId="0" borderId="21" numFmtId="0" xfId="0" applyFont="1" applyBorder="1" applyAlignment="1">
      <alignment horizontal="left" vertical="center"/>
    </xf>
    <xf fontId="35" fillId="0" borderId="25" numFmtId="0" xfId="0" applyFont="1" applyBorder="1" applyAlignment="1">
      <alignment horizontal="left" vertical="center"/>
    </xf>
    <xf fontId="61" fillId="41" borderId="34" numFmtId="0" xfId="0" applyFont="1" applyFill="1" applyBorder="1" applyAlignment="1">
      <alignment horizontal="left" vertical="center"/>
    </xf>
    <xf fontId="0" fillId="35" borderId="42" numFmtId="49" xfId="0" applyNumberFormat="1" applyFill="1" applyBorder="1" applyAlignment="1">
      <alignment vertical="top"/>
      <protection locked="0"/>
    </xf>
    <xf fontId="26" fillId="0" borderId="42" numFmtId="49" xfId="0" applyNumberFormat="1" applyFont="1" applyBorder="1" applyAlignment="1">
      <alignment horizontal="center" vertical="center"/>
    </xf>
    <xf fontId="26" fillId="0" borderId="42" numFmtId="49" xfId="0" applyNumberFormat="1" applyFont="1" applyBorder="1" applyAlignment="1">
      <alignment vertical="center" wrapText="1"/>
    </xf>
    <xf fontId="26" fillId="0" borderId="29" numFmtId="0" xfId="0" applyFont="1" applyBorder="1" applyAlignment="1">
      <alignment horizontal="center" vertical="center"/>
    </xf>
    <xf fontId="52" fillId="0" borderId="42" numFmtId="49" xfId="0" applyNumberFormat="1" applyFont="1" applyBorder="1" applyAlignment="1">
      <alignment vertical="center" wrapText="1"/>
    </xf>
    <xf fontId="26" fillId="40" borderId="32" numFmtId="0" xfId="0" applyFont="1" applyFill="1" applyBorder="1" applyAlignment="1">
      <alignment horizontal="left" vertical="center" wrapText="1"/>
    </xf>
    <xf fontId="26" fillId="40" borderId="32" numFmtId="49" xfId="0" applyNumberFormat="1" applyFont="1" applyFill="1" applyBorder="1" applyAlignment="1">
      <alignment horizontal="left" vertical="center" wrapText="1"/>
    </xf>
    <xf fontId="26" fillId="0" borderId="42" numFmtId="0" xfId="0" applyFont="1" applyBorder="1" applyAlignment="1">
      <alignment horizontal="left" vertical="center" wrapText="1"/>
    </xf>
    <xf fontId="26" fillId="0" borderId="42" numFmtId="49" xfId="0" applyNumberFormat="1" applyFont="1" applyBorder="1" applyAlignment="1">
      <alignment horizontal="left" vertical="center" wrapText="1"/>
    </xf>
    <xf fontId="26" fillId="40" borderId="42" numFmtId="0" xfId="0" applyFont="1" applyFill="1" applyBorder="1" applyAlignment="1">
      <alignment horizontal="left" vertical="center" wrapText="1"/>
    </xf>
    <xf fontId="61" fillId="0" borderId="30" numFmtId="0" xfId="0" applyFont="1" applyBorder="1" applyAlignment="1">
      <alignment horizontal="left" vertical="center"/>
    </xf>
    <xf fontId="61" fillId="41" borderId="33" numFmtId="0" xfId="0" applyFont="1" applyFill="1" applyBorder="1" applyAlignment="1">
      <alignment horizontal="left" vertical="center"/>
    </xf>
    <xf fontId="61" fillId="41" borderId="26" numFmtId="0" xfId="0" applyFont="1" applyFill="1" applyBorder="1" applyAlignment="1">
      <alignment horizontal="left" vertical="center"/>
    </xf>
    <xf fontId="61" fillId="41" borderId="27" numFmtId="0" xfId="0" applyFont="1" applyFill="1" applyBorder="1" applyAlignment="1">
      <alignment horizontal="left" vertical="center"/>
    </xf>
    <xf fontId="26" fillId="38" borderId="32" numFmtId="49" xfId="0" applyNumberFormat="1" applyFont="1" applyFill="1" applyBorder="1" applyAlignment="1">
      <alignment horizontal="left" vertical="center" wrapText="1"/>
      <protection locked="0"/>
    </xf>
    <xf fontId="52" fillId="0" borderId="42" numFmtId="49" xfId="0" applyNumberFormat="1" applyFont="1" applyBorder="1" applyAlignment="1">
      <alignment horizontal="center" vertical="center" wrapText="1"/>
    </xf>
    <xf fontId="61" fillId="41" borderId="33" numFmtId="0" xfId="0" applyFont="1" applyFill="1" applyBorder="1" applyAlignment="1">
      <alignment vertical="center"/>
    </xf>
    <xf fontId="26" fillId="35" borderId="32" numFmtId="49" xfId="0" applyNumberFormat="1" applyFont="1" applyFill="1" applyBorder="1" applyAlignment="1">
      <alignment horizontal="left" vertical="center" wrapText="1"/>
      <protection locked="0"/>
    </xf>
    <xf fontId="73" fillId="41" borderId="21" numFmtId="49" xfId="0" applyNumberFormat="1" applyFont="1" applyFill="1" applyBorder="1" applyAlignment="1">
      <alignment vertical="top"/>
    </xf>
    <xf fontId="73" fillId="41" borderId="25" numFmtId="49" xfId="0" applyNumberFormat="1" applyFont="1" applyFill="1" applyBorder="1" applyAlignment="1">
      <alignment vertical="top"/>
    </xf>
    <xf fontId="0" fillId="0" borderId="0" numFmtId="49" xfId="0" applyNumberFormat="1" applyAlignment="1">
      <alignment vertical="center" wrapText="1"/>
    </xf>
    <xf fontId="26" fillId="0" borderId="0" numFmtId="49" xfId="0" applyNumberFormat="1" applyFont="1" applyAlignment="1">
      <alignment horizontal="center" vertical="top"/>
    </xf>
    <xf fontId="31" fillId="45" borderId="0" numFmtId="49" xfId="0" applyNumberFormat="1" applyFont="1" applyFill="1" applyAlignment="1">
      <alignment horizontal="center" vertical="center"/>
    </xf>
    <xf fontId="26" fillId="0" borderId="23" numFmtId="49" xfId="0" applyNumberFormat="1" applyFont="1" applyBorder="1" applyAlignment="1">
      <alignment horizontal="center" vertical="top"/>
    </xf>
    <xf fontId="33" fillId="45" borderId="0" numFmtId="49" xfId="0" applyNumberFormat="1" applyFont="1" applyFill="1" applyAlignment="1">
      <alignment horizontal="center" vertical="center" wrapText="1"/>
    </xf>
    <xf fontId="0" fillId="44" borderId="23" numFmtId="0" xfId="0" applyFill="1" applyBorder="1" applyAlignment="1">
      <alignment horizontal="center" vertical="center"/>
    </xf>
    <xf fontId="33" fillId="45" borderId="23" numFmtId="49" xfId="0" applyNumberFormat="1" applyFont="1" applyFill="1" applyBorder="1" applyAlignment="1">
      <alignment horizontal="center" vertical="center"/>
    </xf>
    <xf fontId="33" fillId="46" borderId="23" numFmtId="49" xfId="0" applyNumberFormat="1" applyFont="1" applyFill="1" applyBorder="1" applyAlignment="1">
      <alignment horizontal="center" vertical="center"/>
    </xf>
    <xf fontId="0" fillId="47" borderId="23" numFmtId="49" xfId="0" applyNumberFormat="1" applyFill="1" applyBorder="1" applyAlignment="1">
      <alignment horizontal="center" vertical="center"/>
    </xf>
    <xf fontId="26" fillId="0" borderId="23" numFmtId="0" xfId="0" applyFont="1" applyBorder="1" applyAlignment="1">
      <alignment vertical="center"/>
    </xf>
    <xf fontId="0" fillId="0" borderId="23" numFmtId="0" xfId="0" applyBorder="1" applyAlignment="1">
      <alignment vertical="center"/>
    </xf>
    <xf fontId="0" fillId="0" borderId="21" numFmtId="0" xfId="0" applyBorder="1" applyAlignment="1">
      <alignment vertical="center"/>
    </xf>
    <xf fontId="26" fillId="0" borderId="21" numFmtId="0" xfId="0" applyFont="1" applyBorder="1" applyAlignment="1">
      <alignment horizontal="left" vertical="center"/>
    </xf>
    <xf fontId="26" fillId="0" borderId="71" numFmtId="49" xfId="0" applyNumberFormat="1" applyFont="1" applyBorder="1" applyAlignment="1">
      <alignment vertical="center"/>
    </xf>
    <xf fontId="26" fillId="0" borderId="72" numFmtId="49" xfId="0" applyNumberFormat="1" applyFont="1" applyBorder="1" applyAlignment="1">
      <alignment vertical="top"/>
    </xf>
    <xf fontId="26" fillId="0" borderId="73" numFmtId="49" xfId="0" applyNumberFormat="1" applyFont="1" applyBorder="1" applyAlignment="1">
      <alignment vertical="top"/>
    </xf>
    <xf fontId="0" fillId="0" borderId="20" numFmtId="0" xfId="0" applyBorder="1" applyAlignment="1">
      <alignment vertical="center"/>
    </xf>
    <xf fontId="0" fillId="0" borderId="23" numFmtId="0" xfId="0" applyBorder="1" applyAlignment="1">
      <alignment horizontal="right" vertical="top"/>
    </xf>
    <xf fontId="0" fillId="0" borderId="23" numFmtId="0" xfId="0" applyBorder="1" applyAlignment="1">
      <alignment vertical="top"/>
    </xf>
    <xf fontId="26" fillId="0" borderId="20" numFmtId="0" xfId="0" applyFont="1" applyBorder="1" applyAlignment="1">
      <alignment vertical="center"/>
    </xf>
    <xf fontId="26" fillId="0" borderId="23" numFmtId="49" xfId="0" applyNumberFormat="1" applyFont="1" applyBorder="1" applyAlignment="1">
      <alignment vertical="center"/>
    </xf>
    <xf fontId="26" fillId="0" borderId="23" numFmtId="0" xfId="0" applyFont="1" applyBorder="1" applyAlignment="1">
      <alignment vertical="top"/>
    </xf>
    <xf fontId="0" fillId="51" borderId="0" numFmtId="0" xfId="0" applyFill="1" applyAlignment="1">
      <alignment horizontal="right" vertical="center"/>
    </xf>
    <xf fontId="31" fillId="0" borderId="0" numFmtId="49" xfId="0" applyNumberFormat="1" applyFont="1" applyAlignment="1">
      <alignment horizontal="center" vertical="center"/>
    </xf>
    <xf fontId="0" fillId="51" borderId="0" numFmtId="0" xfId="0" applyFill="1" applyAlignment="1">
      <alignment horizontal="left" vertical="center"/>
    </xf>
    <xf fontId="0" fillId="0" borderId="0" numFmtId="0" xfId="0" applyAlignment="1">
      <alignment horizontal="right" vertical="top"/>
    </xf>
    <xf fontId="26" fillId="0" borderId="21" numFmtId="49" xfId="0" applyNumberFormat="1" applyFont="1" applyBorder="1" applyAlignment="1">
      <alignment vertical="top"/>
    </xf>
    <xf fontId="0" fillId="0" borderId="0" numFmtId="0" xfId="0" applyAlignment="1">
      <alignment horizontal="left" vertical="center"/>
    </xf>
    <xf fontId="59" fillId="51" borderId="0" numFmtId="0" xfId="0" applyFont="1" applyFill="1" applyAlignment="1">
      <alignment horizontal="left" vertical="center"/>
    </xf>
    <xf fontId="59" fillId="0" borderId="0" numFmtId="0" xfId="0" applyFont="1" applyAlignment="1">
      <alignment horizontal="left" vertical="center"/>
    </xf>
    <xf fontId="0" fillId="0" borderId="21" numFmtId="49" xfId="0" applyNumberFormat="1" applyBorder="1" applyAlignment="1">
      <alignment vertical="top"/>
    </xf>
    <xf fontId="26" fillId="0" borderId="23" numFmtId="49" xfId="0" applyNumberFormat="1" applyFont="1" applyBorder="1" applyAlignment="1">
      <alignment horizontal="right" vertical="top"/>
    </xf>
    <xf fontId="0" fillId="0" borderId="21" numFmtId="0" xfId="0" applyBorder="1" applyAlignment="1">
      <alignment horizontal="left" vertical="center"/>
    </xf>
    <xf fontId="26" fillId="0" borderId="32" numFmtId="49" xfId="0" applyNumberFormat="1" applyFont="1" applyBorder="1" applyAlignment="1">
      <alignment horizontal="right" vertical="top"/>
    </xf>
    <xf fontId="0" fillId="0" borderId="32" numFmtId="0" xfId="0" applyBorder="1" applyAlignment="1">
      <alignment vertical="top"/>
    </xf>
    <xf fontId="26" fillId="0" borderId="32" numFmtId="0" xfId="0" applyFont="1" applyBorder="1" applyAlignment="1">
      <alignment vertical="center"/>
    </xf>
    <xf fontId="26" fillId="0" borderId="52" numFmtId="49" xfId="0" applyNumberFormat="1" applyFont="1" applyBorder="1" applyAlignment="1">
      <alignment horizontal="center" vertical="center"/>
    </xf>
    <xf fontId="26" fillId="0" borderId="23" numFmtId="49" xfId="0" applyNumberFormat="1" applyFont="1" applyBorder="1" applyAlignment="1">
      <alignment horizontal="right" vertical="center"/>
    </xf>
    <xf fontId="26" fillId="0" borderId="23" numFmtId="49" xfId="0" applyNumberFormat="1" applyFont="1" applyBorder="1" applyAlignment="1">
      <alignment vertical="top"/>
    </xf>
    <xf fontId="26" fillId="51" borderId="0" numFmtId="0" xfId="0" applyFont="1" applyFill="1" applyAlignment="1">
      <alignment horizontal="left" vertical="center"/>
    </xf>
    <xf fontId="0" fillId="51" borderId="74" numFmtId="0" xfId="0" applyFill="1" applyBorder="1" applyAlignment="1">
      <alignment horizontal="center"/>
    </xf>
    <xf fontId="111" fillId="0" borderId="73" numFmtId="49" xfId="0" applyNumberFormat="1" applyFont="1" applyBorder="1" applyAlignment="1">
      <alignment vertical="top"/>
    </xf>
    <xf fontId="62" fillId="52" borderId="0" numFmtId="49" xfId="0" applyNumberFormat="1" applyFont="1" applyFill="1" applyAlignment="1">
      <alignment vertical="center" wrapText="1"/>
    </xf>
    <xf fontId="0" fillId="0" borderId="74" numFmtId="0" xfId="0" applyBorder="1" applyAlignment="1">
      <alignment horizontal="center"/>
    </xf>
    <xf fontId="26" fillId="51" borderId="0" numFmtId="49" xfId="0" applyNumberFormat="1" applyFont="1" applyFill="1" applyAlignment="1">
      <alignment horizontal="center" vertical="center"/>
    </xf>
    <xf fontId="0" fillId="35" borderId="52" numFmtId="49" xfId="0" applyNumberFormat="1" applyFill="1" applyBorder="1" applyAlignment="1">
      <alignment horizontal="left" vertical="center"/>
      <protection locked="0"/>
    </xf>
    <xf fontId="0" fillId="0" borderId="52" numFmtId="49" xfId="0" applyNumberFormat="1" applyBorder="1" applyAlignment="1">
      <alignment horizontal="right" vertical="center"/>
    </xf>
    <xf fontId="0" fillId="37" borderId="52" numFmtId="0" xfId="0" applyFill="1" applyBorder="1" applyAlignment="1">
      <alignment horizontal="center" vertical="center"/>
    </xf>
    <xf fontId="0" fillId="0" borderId="52" numFmtId="49" xfId="0" applyNumberFormat="1" applyBorder="1" applyAlignment="1">
      <alignment horizontal="center" vertical="center"/>
    </xf>
    <xf fontId="0" fillId="0" borderId="0" numFmtId="49" xfId="0" applyNumberFormat="1" applyAlignment="1">
      <alignment horizontal="left" vertical="center"/>
    </xf>
    <xf fontId="23" fillId="0" borderId="75" numFmtId="0" xfId="0" applyFont="1" applyBorder="1" applyAlignment="1">
      <alignment horizontal="center" vertical="center"/>
    </xf>
    <xf fontId="0" fillId="0" borderId="75" numFmtId="0" xfId="0" applyBorder="1" applyAlignment="1">
      <alignment horizontal="center" vertical="center"/>
    </xf>
    <xf fontId="31" fillId="45" borderId="23" numFmtId="49" xfId="0" applyNumberFormat="1" applyFont="1" applyFill="1" applyBorder="1" applyAlignment="1">
      <alignment horizontal="right" vertical="center"/>
    </xf>
    <xf fontId="26" fillId="35" borderId="33" numFmtId="49" xfId="0" applyNumberFormat="1" applyFont="1" applyFill="1" applyBorder="1" applyAlignment="1">
      <alignment vertical="top"/>
      <protection locked="0"/>
    </xf>
    <xf fontId="0" fillId="48" borderId="23" numFmtId="0" xfId="0" applyFill="1" applyBorder="1" applyAlignment="1">
      <alignment horizontal="right" vertical="center"/>
    </xf>
    <xf fontId="26" fillId="48" borderId="30" numFmtId="49" xfId="0" applyNumberFormat="1" applyFont="1" applyFill="1" applyBorder="1" applyAlignment="1">
      <alignment vertical="top"/>
    </xf>
    <xf fontId="26" fillId="48" borderId="23" numFmtId="49" xfId="0" applyNumberFormat="1" applyFont="1" applyFill="1" applyBorder="1" applyAlignment="1">
      <alignment vertical="top"/>
    </xf>
    <xf fontId="26" fillId="0" borderId="21" numFmtId="49" xfId="0" applyNumberFormat="1" applyFont="1" applyBorder="1" applyAlignment="1">
      <alignment horizontal="center" vertical="top"/>
    </xf>
    <xf fontId="26" fillId="0" borderId="20" numFmtId="49" xfId="0" applyNumberFormat="1" applyFont="1" applyBorder="1" applyAlignment="1">
      <alignment horizontal="center" vertical="top"/>
    </xf>
    <xf fontId="26" fillId="37" borderId="35" numFmtId="0" xfId="0" applyFont="1" applyFill="1" applyBorder="1" applyAlignment="1">
      <alignment horizontal="center" vertical="top"/>
    </xf>
    <xf fontId="26" fillId="37" borderId="35" numFmtId="0" xfId="0" applyFont="1" applyFill="1" applyBorder="1" applyAlignment="1">
      <alignment horizontal="left" vertical="top"/>
    </xf>
    <xf fontId="0" fillId="0" borderId="50" numFmtId="0" xfId="0" applyBorder="1" applyAlignment="1">
      <alignment horizontal="center" vertical="center"/>
    </xf>
    <xf fontId="0" fillId="0" borderId="55" numFmtId="0" xfId="0" applyBorder="1" applyAlignment="1">
      <alignment horizontal="center" vertical="center"/>
    </xf>
    <xf fontId="26" fillId="0" borderId="23" numFmtId="0" xfId="0" applyFont="1" applyBorder="1" applyAlignment="1">
      <alignment horizontal="left" vertical="top"/>
    </xf>
    <xf fontId="26" fillId="0" borderId="0" numFmtId="49" xfId="0" applyNumberFormat="1" applyFont="1" applyAlignment="1">
      <alignment horizontal="left" vertical="top"/>
    </xf>
    <xf fontId="0" fillId="0" borderId="52" numFmtId="0" xfId="0" applyBorder="1" applyAlignment="1">
      <alignment horizontal="center" vertical="center"/>
    </xf>
    <xf fontId="0" fillId="0" borderId="53" numFmtId="0" xfId="0" applyBorder="1" applyAlignment="1">
      <alignment horizontal="center" vertical="center"/>
    </xf>
    <xf fontId="31" fillId="45" borderId="21" numFmtId="49" xfId="0" applyNumberFormat="1" applyFont="1" applyFill="1" applyBorder="1" applyAlignment="1">
      <alignment horizontal="right" vertical="center"/>
    </xf>
    <xf fontId="112" fillId="0" borderId="0" numFmtId="49" xfId="0" applyNumberFormat="1" applyFont="1" applyAlignment="1">
      <alignment vertical="top" wrapText="1"/>
    </xf>
    <xf fontId="112" fillId="0" borderId="0" numFmtId="49" xfId="0" applyNumberFormat="1" applyFont="1" applyAlignment="1">
      <alignment vertical="top"/>
    </xf>
    <xf fontId="112" fillId="0" borderId="23" numFmtId="49" xfId="0" applyNumberFormat="1" applyFont="1" applyBorder="1" applyAlignment="1">
      <alignment vertical="top" wrapText="1"/>
    </xf>
    <xf fontId="30" fillId="0" borderId="23" numFmtId="49" xfId="0" applyNumberFormat="1" applyFont="1" applyBorder="1" applyAlignment="1">
      <alignment horizontal="center" vertical="top" wrapText="1"/>
    </xf>
    <xf fontId="30" fillId="48" borderId="23" numFmtId="49" xfId="0" applyNumberFormat="1" applyFont="1" applyFill="1" applyBorder="1" applyAlignment="1">
      <alignment horizontal="center" vertical="top"/>
    </xf>
    <xf fontId="30" fillId="0" borderId="23" numFmtId="49" xfId="0" applyNumberFormat="1" applyFont="1" applyBorder="1" applyAlignment="1">
      <alignment vertical="top" wrapText="1"/>
    </xf>
    <xf fontId="30" fillId="0" borderId="23" numFmtId="0" xfId="0" applyFont="1" applyBorder="1" applyAlignment="1">
      <alignment vertical="top" wrapText="1"/>
    </xf>
    <xf fontId="30" fillId="0" borderId="23" numFmtId="49" xfId="0" applyNumberFormat="1" applyFont="1" applyBorder="1" applyAlignment="1">
      <alignment vertical="top"/>
    </xf>
    <xf fontId="112" fillId="0" borderId="23" numFmtId="49" xfId="0" applyNumberFormat="1" applyFont="1" applyBorder="1" applyAlignment="1">
      <alignment vertical="top"/>
    </xf>
    <xf fontId="112" fillId="0" borderId="23" numFmtId="0" xfId="0" applyFont="1" applyBorder="1" applyAlignment="1">
      <alignment vertical="top" wrapText="1"/>
    </xf>
    <xf fontId="112" fillId="0" borderId="0" numFmtId="49" xfId="0" applyNumberFormat="1" applyFont="1" applyAlignment="1">
      <alignment horizontal="left" vertical="top" wrapText="1"/>
    </xf>
    <xf fontId="112" fillId="48" borderId="0" numFmtId="49" xfId="0" applyNumberFormat="1" applyFont="1" applyFill="1" applyAlignment="1">
      <alignment horizontal="left" vertical="top" wrapText="1"/>
    </xf>
    <xf fontId="112" fillId="0" borderId="0" numFmtId="0" xfId="0" applyFont="1" applyAlignment="1">
      <alignment vertical="top" wrapText="1"/>
    </xf>
    <xf fontId="112" fillId="0" borderId="0" numFmtId="49" xfId="0" applyNumberFormat="1" applyFont="1" applyAlignment="1">
      <alignment horizontal="center" vertical="top" wrapText="1"/>
    </xf>
    <xf fontId="112" fillId="0" borderId="23" numFmtId="49" xfId="0" applyNumberFormat="1" applyFont="1" applyBorder="1" applyAlignment="1">
      <alignment horizontal="center" vertical="top" wrapText="1"/>
    </xf>
    <xf fontId="112" fillId="48" borderId="23" numFmtId="49" xfId="0" applyNumberFormat="1" applyFont="1" applyFill="1" applyBorder="1" applyAlignment="1">
      <alignment horizontal="center" vertical="top" wrapText="1"/>
    </xf>
    <xf fontId="30" fillId="48" borderId="23" numFmtId="49" xfId="0" applyNumberFormat="1" applyFont="1" applyFill="1" applyBorder="1" applyAlignment="1">
      <alignment horizontal="center" vertical="top" wrapText="1"/>
    </xf>
    <xf fontId="112" fillId="0" borderId="23" numFmtId="49" xfId="0" applyNumberFormat="1" applyFont="1" applyBorder="1" applyAlignment="1">
      <alignment horizontal="left" vertical="top" wrapText="1"/>
    </xf>
    <xf fontId="30" fillId="48" borderId="23" numFmtId="0" xfId="0" applyFont="1" applyFill="1" applyBorder="1" applyAlignment="1">
      <alignment horizontal="center" vertical="top" wrapText="1"/>
    </xf>
    <xf fontId="112" fillId="48" borderId="23" numFmtId="0" xfId="0" applyFont="1" applyFill="1" applyBorder="1" applyAlignment="1">
      <alignment horizontal="right" vertical="center" wrapText="1"/>
    </xf>
    <xf fontId="112" fillId="0" borderId="21" numFmtId="49" xfId="0" applyNumberFormat="1" applyFont="1" applyBorder="1" applyAlignment="1">
      <alignment horizontal="center" vertical="top" wrapText="1"/>
    </xf>
    <xf fontId="112" fillId="0" borderId="25" numFmtId="49" xfId="0" applyNumberFormat="1" applyFont="1" applyBorder="1" applyAlignment="1">
      <alignment horizontal="center" vertical="top" wrapText="1"/>
    </xf>
    <xf fontId="112" fillId="0" borderId="20" numFmtId="49" xfId="0" applyNumberFormat="1" applyFont="1" applyBorder="1" applyAlignment="1">
      <alignment horizontal="center" vertical="top" wrapText="1"/>
    </xf>
    <xf fontId="112" fillId="0" borderId="23" numFmtId="0" xfId="0" applyFont="1" applyBorder="1" applyAlignment="1">
      <alignment horizontal="left" vertical="top" wrapText="1"/>
    </xf>
    <xf fontId="112" fillId="48" borderId="23" numFmtId="49" xfId="0" applyNumberFormat="1" applyFont="1" applyFill="1" applyBorder="1" applyAlignment="1">
      <alignment horizontal="left" vertical="top" wrapText="1"/>
    </xf>
    <xf fontId="112" fillId="48" borderId="23" numFmtId="0" xfId="0" applyFont="1" applyFill="1" applyBorder="1" applyAlignment="1">
      <alignment horizontal="center" vertical="center" wrapText="1"/>
    </xf>
    <xf fontId="112" fillId="0" borderId="32" numFmtId="49" xfId="0" applyNumberFormat="1" applyFont="1" applyBorder="1" applyAlignment="1">
      <alignment horizontal="center" vertical="top" wrapText="1"/>
    </xf>
    <xf fontId="112" fillId="0" borderId="42" numFmtId="49" xfId="0" applyNumberFormat="1" applyFont="1" applyBorder="1" applyAlignment="1">
      <alignment horizontal="center" vertical="top" wrapText="1"/>
    </xf>
    <xf fontId="112" fillId="0" borderId="32" numFmtId="0" xfId="0" applyFont="1" applyBorder="1" applyAlignment="1">
      <alignment horizontal="left" vertical="top" wrapText="1"/>
    </xf>
    <xf fontId="112" fillId="0" borderId="33" numFmtId="49" xfId="0" applyNumberFormat="1" applyFont="1" applyBorder="1" applyAlignment="1">
      <alignment horizontal="center" vertical="top" wrapText="1"/>
    </xf>
    <xf fontId="112" fillId="0" borderId="20" numFmtId="0" xfId="0" applyFont="1" applyBorder="1" applyAlignment="1">
      <alignment horizontal="left" vertical="top" wrapText="1"/>
    </xf>
    <xf fontId="112" fillId="0" borderId="30" numFmtId="49" xfId="0" applyNumberFormat="1" applyFont="1" applyBorder="1" applyAlignment="1">
      <alignment horizontal="center" vertical="top" wrapText="1"/>
    </xf>
    <xf fontId="112" fillId="0" borderId="35" numFmtId="49" xfId="0" applyNumberFormat="1" applyFont="1" applyBorder="1" applyAlignment="1">
      <alignment horizontal="center" vertical="top" wrapText="1"/>
    </xf>
    <xf fontId="112" fillId="0" borderId="28" numFmtId="49" xfId="0" applyNumberFormat="1" applyFont="1" applyBorder="1" applyAlignment="1">
      <alignment horizontal="center" vertical="top" wrapText="1"/>
    </xf>
    <xf fontId="112" fillId="0" borderId="32" numFmtId="0" xfId="0" applyFont="1" applyBorder="1" applyAlignment="1">
      <alignment vertical="top" wrapText="1"/>
    </xf>
    <xf fontId="30" fillId="0" borderId="23" numFmtId="49" xfId="0" applyNumberFormat="1" applyFont="1" applyBorder="1" applyAlignment="1">
      <alignment horizontal="left" vertical="top" wrapText="1"/>
    </xf>
    <xf fontId="30" fillId="0" borderId="21" numFmtId="0" xfId="0" applyFont="1" applyBorder="1" applyAlignment="1">
      <alignment horizontal="center" vertical="center" wrapText="1"/>
    </xf>
    <xf fontId="30" fillId="0" borderId="21" numFmtId="0" xfId="0" applyFont="1" applyBorder="1" applyAlignment="1">
      <alignment horizontal="center" vertical="center"/>
    </xf>
    <xf fontId="30" fillId="0" borderId="23" numFmtId="49" xfId="0" applyNumberFormat="1" applyFont="1" applyBorder="1" applyAlignment="1">
      <alignment horizontal="center" vertical="center" wrapText="1"/>
    </xf>
    <xf fontId="30" fillId="0" borderId="23" numFmtId="0" xfId="0" applyFont="1" applyBorder="1" applyAlignment="1">
      <alignment vertical="center" wrapText="1"/>
    </xf>
    <xf fontId="112" fillId="0" borderId="21" numFmtId="49" xfId="0" applyNumberFormat="1" applyFont="1" applyBorder="1" applyAlignment="1">
      <alignment horizontal="left" vertical="top" wrapText="1"/>
    </xf>
    <xf fontId="30" fillId="0" borderId="23" numFmtId="0" xfId="0" applyFont="1" applyBorder="1" applyAlignment="1">
      <alignment horizontal="center" vertical="center" wrapText="1"/>
    </xf>
    <xf fontId="30" fillId="0" borderId="32" numFmtId="0" xfId="0" applyFont="1" applyBorder="1" applyAlignment="1">
      <alignment vertical="center" wrapText="1"/>
    </xf>
    <xf fontId="30" fillId="0" borderId="30" numFmtId="0" xfId="0" applyFont="1" applyBorder="1" applyAlignment="1">
      <alignment vertical="center" wrapText="1"/>
    </xf>
    <xf fontId="112" fillId="0" borderId="35" numFmtId="49" xfId="0" applyNumberFormat="1" applyFont="1" applyBorder="1" applyAlignment="1">
      <alignment horizontal="left" vertical="top" wrapText="1"/>
    </xf>
    <xf fontId="112" fillId="0" borderId="20" numFmtId="49" xfId="0" applyNumberFormat="1" applyFont="1" applyBorder="1" applyAlignment="1">
      <alignment horizontal="left" vertical="top" wrapText="1"/>
    </xf>
    <xf fontId="30" fillId="0" borderId="32" numFmtId="49" xfId="0" applyNumberFormat="1" applyFont="1" applyBorder="1" applyAlignment="1">
      <alignment horizontal="center" vertical="center" wrapText="1"/>
    </xf>
    <xf fontId="30" fillId="0" borderId="30" numFmtId="49" xfId="0" applyNumberFormat="1" applyFont="1" applyBorder="1" applyAlignment="1">
      <alignment horizontal="center" vertical="center" wrapText="1"/>
    </xf>
    <xf fontId="30" fillId="0" borderId="32" numFmtId="0" xfId="0" applyFont="1" applyBorder="1" applyAlignment="1">
      <alignment horizontal="center" vertical="center" wrapText="1"/>
    </xf>
    <xf fontId="112" fillId="0" borderId="42" numFmtId="49" xfId="0" applyNumberFormat="1" applyFont="1" applyBorder="1" applyAlignment="1">
      <alignment horizontal="left" vertical="top" wrapText="1"/>
    </xf>
    <xf fontId="112" fillId="0" borderId="42" numFmtId="0" xfId="0" applyFont="1" applyBorder="1" applyAlignment="1">
      <alignment horizontal="left" vertical="top" wrapText="1"/>
    </xf>
    <xf fontId="25" fillId="0" borderId="26" numFmtId="0" xfId="0" applyFont="1" applyBorder="1" applyAlignment="1">
      <alignment horizontal="left" indent="1" vertical="center" wrapText="1"/>
    </xf>
    <xf fontId="25" fillId="0" borderId="45" numFmtId="0" xfId="0" applyFont="1" applyBorder="1" applyAlignment="1">
      <alignment horizontal="left" indent="1" vertical="center" wrapText="1"/>
    </xf>
    <xf fontId="26" fillId="37" borderId="23" numFmtId="4" xfId="0" applyNumberFormat="1" applyFont="1" applyFill="1" applyBorder="1" applyAlignment="1">
      <alignment horizontal="left" vertical="center" wrapText="1"/>
    </xf>
    <xf fontId="26" fillId="40" borderId="23" numFmtId="0" xfId="0" applyFont="1" applyFill="1" applyBorder="1" applyAlignment="1">
      <alignment horizontal="left" vertical="center" wrapText="1"/>
      <protection locked="0"/>
    </xf>
    <xf fontId="26" fillId="40" borderId="21" numFmtId="0" xfId="0" applyFont="1" applyFill="1" applyBorder="1" applyAlignment="1">
      <alignment horizontal="left" vertical="center" wrapText="1"/>
      <protection locked="0"/>
    </xf>
    <xf fontId="26" fillId="40" borderId="25" numFmtId="0" xfId="0" applyFont="1" applyFill="1" applyBorder="1" applyAlignment="1">
      <alignment horizontal="left" vertical="center" wrapText="1"/>
      <protection locked="0"/>
    </xf>
    <xf fontId="26" fillId="40" borderId="20" numFmtId="0" xfId="0" applyFont="1" applyFill="1" applyBorder="1" applyAlignment="1">
      <alignment horizontal="left" vertical="center" wrapText="1"/>
      <protection locked="0"/>
    </xf>
    <xf fontId="26" fillId="40" borderId="23" numFmtId="0" xfId="0" applyFont="1" applyFill="1" applyBorder="1" applyAlignment="1">
      <alignment horizontal="left" indent="6" vertical="center" wrapText="1"/>
      <protection locked="0"/>
    </xf>
    <xf fontId="97" fillId="41" borderId="21" numFmtId="49" xfId="0" applyNumberFormat="1" applyFont="1" applyFill="1" applyBorder="1" applyAlignment="1">
      <alignment horizontal="left" vertical="center"/>
    </xf>
    <xf fontId="113" fillId="41" borderId="25" numFmtId="49" xfId="0" applyNumberFormat="1" applyFont="1" applyFill="1" applyBorder="1" applyAlignment="1">
      <alignment horizontal="left" indent="3" vertical="center"/>
    </xf>
    <xf fontId="54" fillId="41" borderId="25" numFmtId="49" xfId="0" applyNumberFormat="1" applyFont="1" applyFill="1" applyBorder="1" applyAlignment="1">
      <alignment horizontal="center" vertical="center" wrapText="1"/>
    </xf>
    <xf fontId="73" fillId="41" borderId="25" numFmtId="49" xfId="0" applyNumberFormat="1" applyFont="1" applyFill="1" applyBorder="1" applyAlignment="1">
      <alignment horizontal="center" vertical="center" wrapText="1"/>
    </xf>
    <xf fontId="73" fillId="41" borderId="20" numFmtId="49" xfId="0" applyNumberFormat="1" applyFont="1" applyFill="1" applyBorder="1" applyAlignment="1">
      <alignment horizontal="center" vertical="center" wrapText="1"/>
    </xf>
    <xf fontId="113" fillId="41" borderId="25" numFmtId="49" xfId="0" applyNumberFormat="1" applyFont="1" applyFill="1" applyBorder="1" applyAlignment="1">
      <alignment horizontal="left" indent="2" vertical="center"/>
    </xf>
    <xf fontId="113" fillId="41" borderId="25" numFmtId="49" xfId="0" applyNumberFormat="1" applyFont="1" applyFill="1" applyBorder="1" applyAlignment="1">
      <alignment horizontal="left" indent="1" vertical="center"/>
    </xf>
    <xf fontId="33" fillId="0" borderId="0" numFmtId="49" xfId="0" applyNumberFormat="1" applyFont="1" applyAlignment="1">
      <alignment horizontal="left" vertical="top"/>
    </xf>
    <xf fontId="73" fillId="41" borderId="21" numFmtId="49" xfId="0" applyNumberFormat="1" applyFont="1" applyFill="1" applyBorder="1" applyAlignment="1">
      <alignment horizontal="left" vertical="top"/>
    </xf>
    <xf fontId="113" fillId="41" borderId="25" numFmtId="49" xfId="0" applyNumberFormat="1" applyFont="1" applyFill="1" applyBorder="1" applyAlignment="1">
      <alignment horizontal="left" vertical="center"/>
    </xf>
    <xf fontId="26" fillId="0" borderId="0" numFmtId="49" xfId="0" applyNumberFormat="1" applyFont="1" applyAlignment="1">
      <alignment horizontal="left" vertical="center"/>
    </xf>
    <xf fontId="25" fillId="0" borderId="25" numFmtId="0" xfId="0" applyFont="1" applyBorder="1" applyAlignment="1">
      <alignment horizontal="left" indent="1" vertical="center" wrapText="1"/>
    </xf>
    <xf fontId="26" fillId="37" borderId="21" numFmtId="0" xfId="0" applyFont="1" applyFill="1" applyBorder="1" applyAlignment="1">
      <alignment horizontal="left" indent="1" vertical="center" wrapText="1"/>
    </xf>
    <xf fontId="26" fillId="37" borderId="25" numFmtId="0" xfId="0" applyFont="1" applyFill="1" applyBorder="1" applyAlignment="1">
      <alignment horizontal="left" indent="1" vertical="center" wrapText="1"/>
    </xf>
    <xf fontId="26" fillId="37" borderId="20" numFmtId="0" xfId="0" applyFont="1" applyFill="1" applyBorder="1" applyAlignment="1">
      <alignment horizontal="left" indent="1" vertical="center" wrapText="1"/>
    </xf>
    <xf fontId="98" fillId="0" borderId="0" numFmtId="0" xfId="0" applyFont="1" applyAlignment="1">
      <alignment horizontal="left" vertical="center" wrapText="1"/>
    </xf>
    <xf fontId="0" fillId="0" borderId="0" numFmtId="0" xfId="0" applyAlignment="1">
      <alignment horizontal="right" indent="1" vertical="center" wrapText="1"/>
    </xf>
    <xf fontId="70" fillId="0" borderId="0" numFmtId="0" xfId="0" applyFont="1" applyAlignment="1">
      <alignment vertical="center" wrapText="1"/>
    </xf>
    <xf fontId="61" fillId="41" borderId="23" numFmtId="49" xfId="0" applyNumberFormat="1" applyFont="1" applyFill="1" applyBorder="1" applyAlignment="1">
      <alignment horizontal="center" textRotation="90" vertical="center" wrapText="1"/>
    </xf>
    <xf fontId="35" fillId="0" borderId="0" numFmtId="49" xfId="0" applyNumberFormat="1" applyFont="1" applyAlignment="1">
      <alignment vertical="center"/>
    </xf>
    <xf fontId="52" fillId="39" borderId="0" numFmtId="0" xfId="0" applyFont="1" applyFill="1" applyAlignment="1">
      <alignment vertical="center" wrapText="1"/>
    </xf>
    <xf fontId="26" fillId="38" borderId="23" numFmtId="49" xfId="0" applyNumberFormat="1" applyFont="1" applyFill="1" applyBorder="1" applyAlignment="1">
      <alignment horizontal="left" indent="4" vertical="center" wrapText="1"/>
      <protection locked="0"/>
    </xf>
    <xf fontId="0" fillId="38" borderId="23" numFmtId="166" xfId="0" applyNumberFormat="1" applyFill="1" applyBorder="1" applyAlignment="1">
      <alignment horizontal="right" vertical="center"/>
      <protection locked="0"/>
    </xf>
    <xf fontId="0" fillId="39" borderId="21" numFmtId="4" xfId="0" applyNumberFormat="1" applyFill="1" applyBorder="1" applyAlignment="1">
      <alignment horizontal="right" vertical="center"/>
    </xf>
    <xf fontId="26" fillId="0" borderId="21" numFmtId="0" xfId="0" applyFont="1" applyBorder="1" applyAlignment="1">
      <alignment horizontal="left" indent="6" vertical="center" wrapText="1"/>
    </xf>
    <xf fontId="78" fillId="41" borderId="21" numFmtId="49" xfId="0" applyNumberFormat="1" applyFont="1" applyFill="1" applyBorder="1" applyAlignment="1">
      <alignment horizontal="center" vertical="center"/>
    </xf>
    <xf fontId="78" fillId="41" borderId="25" numFmtId="49" xfId="0" applyNumberFormat="1" applyFont="1" applyFill="1" applyBorder="1" applyAlignment="1">
      <alignment horizontal="left" vertical="center"/>
    </xf>
    <xf fontId="26" fillId="41" borderId="34" numFmtId="49" xfId="0" applyNumberFormat="1" applyFont="1" applyFill="1" applyBorder="1" applyAlignment="1">
      <alignment horizontal="center" vertical="center" wrapText="1"/>
    </xf>
    <xf fontId="35" fillId="0" borderId="0" numFmtId="0" xfId="0" applyFont="1" applyAlignment="1">
      <alignment vertical="top" wrapText="1"/>
    </xf>
    <xf fontId="0" fillId="0" borderId="23" numFmtId="49" xfId="0" applyNumberFormat="1" applyBorder="1" applyAlignment="1">
      <alignment horizontal="center" vertical="top"/>
    </xf>
    <xf fontId="0" fillId="0" borderId="21" numFmtId="49" xfId="0" applyNumberFormat="1" applyBorder="1" applyAlignment="1">
      <alignment horizontal="center" vertical="top"/>
    </xf>
    <xf fontId="0" fillId="53" borderId="32" numFmtId="49" xfId="0" applyNumberFormat="1" applyFill="1" applyBorder="1" applyAlignment="1">
      <alignment vertical="top"/>
    </xf>
    <xf fontId="0" fillId="54" borderId="23" numFmtId="49" xfId="0" applyNumberFormat="1" applyFill="1" applyBorder="1" applyAlignment="1">
      <alignment vertical="top"/>
    </xf>
    <xf fontId="0" fillId="0" borderId="25" numFmtId="49" xfId="0" applyNumberFormat="1" applyBorder="1" applyAlignment="1">
      <alignment horizontal="center" vertical="top"/>
    </xf>
    <xf fontId="0" fillId="3" borderId="23" numFmtId="49" xfId="0" applyNumberFormat="1" applyFill="1" applyBorder="1" applyAlignment="1">
      <alignment vertical="top"/>
    </xf>
    <xf fontId="0" fillId="55" borderId="23" numFmtId="49" xfId="0" applyNumberFormat="1" applyFill="1" applyBorder="1" applyAlignment="1">
      <alignment vertical="top"/>
    </xf>
    <xf fontId="0" fillId="16" borderId="32" numFmtId="49" xfId="0" applyNumberFormat="1" applyFill="1" applyBorder="1" applyAlignment="1">
      <alignment vertical="top"/>
    </xf>
    <xf fontId="0" fillId="5" borderId="21" numFmtId="49" xfId="0" applyNumberFormat="1" applyFill="1" applyBorder="1" applyAlignment="1">
      <alignment vertical="top"/>
    </xf>
    <xf fontId="0" fillId="5" borderId="23" numFmtId="49" xfId="0" applyNumberFormat="1" applyFill="1" applyBorder="1" applyAlignment="1">
      <alignment vertical="top"/>
    </xf>
    <xf fontId="0" fillId="16" borderId="23" numFmtId="49" xfId="0" applyNumberFormat="1" applyFill="1" applyBorder="1" applyAlignment="1">
      <alignment vertical="top"/>
    </xf>
    <xf fontId="0" fillId="39" borderId="0" numFmtId="49" xfId="0" applyNumberFormat="1" applyFill="1" applyAlignment="1">
      <alignment vertical="top"/>
    </xf>
    <xf fontId="1" fillId="0" borderId="0" numFmtId="0" xfId="0" applyFont="1"/>
    <xf fontId="0" fillId="0" borderId="0" numFmtId="0" xfId="0"/>
    <xf fontId="26" fillId="37" borderId="74" numFmtId="49" xfId="0" applyNumberFormat="1" applyFont="1" applyFill="1" applyBorder="1" applyAlignment="1">
      <alignment horizontal="center" vertical="top"/>
    </xf>
    <xf fontId="114" fillId="0" borderId="24" numFmtId="49" xfId="0" applyNumberFormat="1" applyFont="1" applyBorder="1" applyAlignment="1">
      <alignment vertical="top" wrapText="1"/>
    </xf>
    <xf fontId="0" fillId="0" borderId="24" numFmtId="0" xfId="0" applyBorder="1" applyAlignment="1">
      <alignment vertical="top" wrapText="1"/>
    </xf>
    <xf fontId="25" fillId="0" borderId="76" numFmtId="0" xfId="0" applyFont="1" applyBorder="1" applyAlignment="1">
      <alignment vertical="top" wrapText="1"/>
    </xf>
    <xf fontId="0" fillId="0" borderId="23" numFmtId="0" xfId="0" applyBorder="1" applyAlignment="1">
      <alignment vertical="top" wrapText="1"/>
    </xf>
    <xf fontId="0" fillId="0" borderId="32" numFmtId="49" xfId="0" applyNumberFormat="1" applyBorder="1" applyAlignment="1">
      <alignment vertical="top"/>
    </xf>
    <xf fontId="41" fillId="0" borderId="24" numFmtId="0" xfId="0" applyFont="1" applyBorder="1" applyAlignment="1">
      <alignment vertical="center" wrapText="1"/>
    </xf>
    <xf fontId="25" fillId="0" borderId="0" numFmtId="0" xfId="0" applyFont="1" applyAlignment="1">
      <alignment vertical="top" wrapText="1"/>
    </xf>
    <xf fontId="26" fillId="0" borderId="24" numFmtId="0" xfId="0" applyFont="1" applyBorder="1" applyAlignmen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89" Type="http://schemas.openxmlformats.org/officeDocument/2006/relationships/sharedStrings" Target="sharedStrings.xml"/><Relationship  Id="rId88" Type="http://schemas.openxmlformats.org/officeDocument/2006/relationships/theme" Target="theme/theme1.xml"/><Relationship  Id="rId87" Type="http://schemas.openxmlformats.org/officeDocument/2006/relationships/worksheet" Target="worksheets/sheet86.xml"/><Relationship  Id="rId84" Type="http://schemas.openxmlformats.org/officeDocument/2006/relationships/worksheet" Target="worksheets/sheet83.xml"/><Relationship  Id="rId82" Type="http://schemas.openxmlformats.org/officeDocument/2006/relationships/worksheet" Target="worksheets/sheet81.xml"/><Relationship  Id="rId81" Type="http://schemas.openxmlformats.org/officeDocument/2006/relationships/worksheet" Target="worksheets/sheet80.xml"/><Relationship  Id="rId75" Type="http://schemas.openxmlformats.org/officeDocument/2006/relationships/worksheet" Target="worksheets/sheet74.xml"/><Relationship  Id="rId71" Type="http://schemas.openxmlformats.org/officeDocument/2006/relationships/worksheet" Target="worksheets/sheet70.xml"/><Relationship  Id="rId69" Type="http://schemas.openxmlformats.org/officeDocument/2006/relationships/worksheet" Target="worksheets/sheet68.xml"/><Relationship  Id="rId68" Type="http://schemas.openxmlformats.org/officeDocument/2006/relationships/worksheet" Target="worksheets/sheet67.xml"/><Relationship  Id="rId67" Type="http://schemas.openxmlformats.org/officeDocument/2006/relationships/worksheet" Target="worksheets/sheet66.xml"/><Relationship  Id="rId85" Type="http://schemas.openxmlformats.org/officeDocument/2006/relationships/worksheet" Target="worksheets/sheet84.xml"/><Relationship  Id="rId66" Type="http://schemas.openxmlformats.org/officeDocument/2006/relationships/worksheet" Target="worksheets/sheet65.xml"/><Relationship  Id="rId65" Type="http://schemas.openxmlformats.org/officeDocument/2006/relationships/worksheet" Target="worksheets/sheet64.xml"/><Relationship  Id="rId60" Type="http://schemas.openxmlformats.org/officeDocument/2006/relationships/worksheet" Target="worksheets/sheet59.xml"/><Relationship  Id="rId83" Type="http://schemas.openxmlformats.org/officeDocument/2006/relationships/worksheet" Target="worksheets/sheet82.xml"/><Relationship  Id="rId59" Type="http://schemas.openxmlformats.org/officeDocument/2006/relationships/worksheet" Target="worksheets/sheet58.xml"/><Relationship  Id="rId63" Type="http://schemas.openxmlformats.org/officeDocument/2006/relationships/worksheet" Target="worksheets/sheet62.xml"/><Relationship  Id="rId57" Type="http://schemas.openxmlformats.org/officeDocument/2006/relationships/worksheet" Target="worksheets/sheet56.xml"/><Relationship  Id="rId56" Type="http://schemas.openxmlformats.org/officeDocument/2006/relationships/worksheet" Target="worksheets/sheet55.xml"/><Relationship  Id="rId51" Type="http://schemas.openxmlformats.org/officeDocument/2006/relationships/worksheet" Target="worksheets/sheet50.xml"/><Relationship  Id="rId48" Type="http://schemas.openxmlformats.org/officeDocument/2006/relationships/worksheet" Target="worksheets/sheet47.xml"/><Relationship  Id="rId55" Type="http://schemas.openxmlformats.org/officeDocument/2006/relationships/worksheet" Target="worksheets/sheet54.xml"/><Relationship  Id="rId78" Type="http://schemas.openxmlformats.org/officeDocument/2006/relationships/worksheet" Target="worksheets/sheet77.xml"/><Relationship  Id="rId47" Type="http://schemas.openxmlformats.org/officeDocument/2006/relationships/worksheet" Target="worksheets/sheet46.xml"/><Relationship  Id="rId45" Type="http://schemas.openxmlformats.org/officeDocument/2006/relationships/worksheet" Target="worksheets/sheet44.xml"/><Relationship  Id="rId64" Type="http://schemas.openxmlformats.org/officeDocument/2006/relationships/worksheet" Target="worksheets/sheet63.xml"/><Relationship  Id="rId44" Type="http://schemas.openxmlformats.org/officeDocument/2006/relationships/worksheet" Target="worksheets/sheet43.xml"/><Relationship  Id="rId74" Type="http://schemas.openxmlformats.org/officeDocument/2006/relationships/worksheet" Target="worksheets/sheet73.xml"/><Relationship  Id="rId70" Type="http://schemas.openxmlformats.org/officeDocument/2006/relationships/worksheet" Target="worksheets/sheet69.xml"/><Relationship  Id="rId62" Type="http://schemas.openxmlformats.org/officeDocument/2006/relationships/worksheet" Target="worksheets/sheet61.xml"/><Relationship  Id="rId43" Type="http://schemas.openxmlformats.org/officeDocument/2006/relationships/worksheet" Target="worksheets/sheet42.xml"/><Relationship  Id="rId49" Type="http://schemas.openxmlformats.org/officeDocument/2006/relationships/worksheet" Target="worksheets/sheet48.xml"/><Relationship  Id="rId42" Type="http://schemas.openxmlformats.org/officeDocument/2006/relationships/worksheet" Target="worksheets/sheet41.xml"/><Relationship  Id="rId90" Type="http://schemas.openxmlformats.org/officeDocument/2006/relationships/styles" Target="styles.xml"/><Relationship  Id="rId40" Type="http://schemas.openxmlformats.org/officeDocument/2006/relationships/worksheet" Target="worksheets/sheet39.xml"/><Relationship  Id="rId79" Type="http://schemas.openxmlformats.org/officeDocument/2006/relationships/worksheet" Target="worksheets/sheet78.xml"/><Relationship  Id="rId39" Type="http://schemas.openxmlformats.org/officeDocument/2006/relationships/worksheet" Target="worksheets/sheet38.xml"/><Relationship  Id="rId38" Type="http://schemas.openxmlformats.org/officeDocument/2006/relationships/worksheet" Target="worksheets/sheet37.xml"/><Relationship  Id="rId54" Type="http://schemas.openxmlformats.org/officeDocument/2006/relationships/worksheet" Target="worksheets/sheet53.xml"/><Relationship  Id="rId41" Type="http://schemas.openxmlformats.org/officeDocument/2006/relationships/worksheet" Target="worksheets/sheet40.xml"/><Relationship  Id="rId36" Type="http://schemas.openxmlformats.org/officeDocument/2006/relationships/worksheet" Target="worksheets/sheet35.xml"/><Relationship  Id="rId80" Type="http://schemas.openxmlformats.org/officeDocument/2006/relationships/worksheet" Target="worksheets/sheet79.xml"/><Relationship  Id="rId35" Type="http://schemas.openxmlformats.org/officeDocument/2006/relationships/worksheet" Target="worksheets/sheet34.xml"/><Relationship  Id="rId34" Type="http://schemas.openxmlformats.org/officeDocument/2006/relationships/worksheet" Target="worksheets/sheet33.xml"/><Relationship  Id="rId33" Type="http://schemas.openxmlformats.org/officeDocument/2006/relationships/worksheet" Target="worksheets/sheet32.xml"/><Relationship  Id="rId58" Type="http://schemas.openxmlformats.org/officeDocument/2006/relationships/worksheet" Target="worksheets/sheet57.xml"/><Relationship  Id="rId29" Type="http://schemas.openxmlformats.org/officeDocument/2006/relationships/worksheet" Target="worksheets/sheet28.xml"/><Relationship  Id="rId28" Type="http://schemas.openxmlformats.org/officeDocument/2006/relationships/worksheet" Target="worksheets/sheet27.xml"/><Relationship  Id="rId27" Type="http://schemas.openxmlformats.org/officeDocument/2006/relationships/worksheet" Target="worksheets/sheet26.xml"/><Relationship  Id="rId23" Type="http://schemas.openxmlformats.org/officeDocument/2006/relationships/worksheet" Target="worksheets/sheet22.xml"/><Relationship  Id="rId52" Type="http://schemas.openxmlformats.org/officeDocument/2006/relationships/worksheet" Target="worksheets/sheet51.xml"/><Relationship  Id="rId61" Type="http://schemas.openxmlformats.org/officeDocument/2006/relationships/worksheet" Target="worksheets/sheet60.xml"/><Relationship  Id="rId76" Type="http://schemas.openxmlformats.org/officeDocument/2006/relationships/worksheet" Target="worksheets/sheet75.xml"/><Relationship  Id="rId22" Type="http://schemas.openxmlformats.org/officeDocument/2006/relationships/worksheet" Target="worksheets/sheet21.xml"/><Relationship  Id="rId21" Type="http://schemas.openxmlformats.org/officeDocument/2006/relationships/worksheet" Target="worksheets/sheet20.xml"/><Relationship  Id="rId25" Type="http://schemas.openxmlformats.org/officeDocument/2006/relationships/worksheet" Target="worksheets/sheet24.xml"/><Relationship  Id="rId13" Type="http://schemas.openxmlformats.org/officeDocument/2006/relationships/worksheet" Target="worksheets/sheet12.xml"/><Relationship  Id="rId50" Type="http://schemas.openxmlformats.org/officeDocument/2006/relationships/worksheet" Target="worksheets/sheet49.xml"/><Relationship  Id="rId24" Type="http://schemas.openxmlformats.org/officeDocument/2006/relationships/worksheet" Target="worksheets/sheet23.xml"/><Relationship  Id="rId11" Type="http://schemas.openxmlformats.org/officeDocument/2006/relationships/worksheet" Target="worksheets/sheet10.xml"/><Relationship  Id="rId17" Type="http://schemas.openxmlformats.org/officeDocument/2006/relationships/worksheet" Target="worksheets/sheet16.xml"/><Relationship  Id="rId10" Type="http://schemas.openxmlformats.org/officeDocument/2006/relationships/worksheet" Target="worksheets/sheet9.xml"/><Relationship  Id="rId18" Type="http://schemas.openxmlformats.org/officeDocument/2006/relationships/worksheet" Target="worksheets/sheet17.xml"/><Relationship  Id="rId26" Type="http://schemas.openxmlformats.org/officeDocument/2006/relationships/worksheet" Target="worksheets/sheet25.xml"/><Relationship  Id="rId86" Type="http://schemas.openxmlformats.org/officeDocument/2006/relationships/worksheet" Target="worksheets/sheet85.xml"/><Relationship  Id="rId53" Type="http://schemas.openxmlformats.org/officeDocument/2006/relationships/worksheet" Target="worksheets/sheet52.xml"/><Relationship  Id="rId15" Type="http://schemas.openxmlformats.org/officeDocument/2006/relationships/worksheet" Target="worksheets/sheet14.xml"/><Relationship  Id="rId9" Type="http://schemas.openxmlformats.org/officeDocument/2006/relationships/worksheet" Target="worksheets/sheet8.xml"/><Relationship  Id="rId20" Type="http://schemas.openxmlformats.org/officeDocument/2006/relationships/worksheet" Target="worksheets/sheet19.xml"/><Relationship  Id="rId8" Type="http://schemas.openxmlformats.org/officeDocument/2006/relationships/worksheet" Target="worksheets/sheet7.xml"/><Relationship  Id="rId31" Type="http://schemas.openxmlformats.org/officeDocument/2006/relationships/worksheet" Target="worksheets/sheet30.xml"/><Relationship  Id="rId19" Type="http://schemas.openxmlformats.org/officeDocument/2006/relationships/worksheet" Target="worksheets/sheet18.xml"/><Relationship  Id="rId37" Type="http://schemas.openxmlformats.org/officeDocument/2006/relationships/worksheet" Target="worksheets/sheet36.xml"/><Relationship  Id="rId46" Type="http://schemas.openxmlformats.org/officeDocument/2006/relationships/worksheet" Target="worksheets/sheet45.xml"/><Relationship  Id="rId7" Type="http://schemas.openxmlformats.org/officeDocument/2006/relationships/worksheet" Target="worksheets/sheet6.xml"/><Relationship  Id="rId73" Type="http://schemas.openxmlformats.org/officeDocument/2006/relationships/worksheet" Target="worksheets/sheet72.xml"/><Relationship  Id="rId14" Type="http://schemas.openxmlformats.org/officeDocument/2006/relationships/worksheet" Target="worksheets/sheet13.xml"/><Relationship  Id="rId77" Type="http://schemas.openxmlformats.org/officeDocument/2006/relationships/worksheet" Target="worksheets/sheet76.xml"/><Relationship  Id="rId6" Type="http://schemas.openxmlformats.org/officeDocument/2006/relationships/worksheet" Target="worksheets/sheet5.xml"/><Relationship  Id="rId5" Type="http://schemas.openxmlformats.org/officeDocument/2006/relationships/worksheet" Target="worksheets/sheet4.xml"/><Relationship  Id="rId16" Type="http://schemas.openxmlformats.org/officeDocument/2006/relationships/worksheet" Target="worksheets/sheet15.xml"/><Relationship  Id="rId4" Type="http://schemas.openxmlformats.org/officeDocument/2006/relationships/worksheet" Target="worksheets/sheet3.xml"/><Relationship  Id="rId12" Type="http://schemas.openxmlformats.org/officeDocument/2006/relationships/worksheet" Target="worksheets/sheet11.xml"/><Relationship  Id="rId72" Type="http://schemas.openxmlformats.org/officeDocument/2006/relationships/worksheet" Target="worksheets/sheet71.xml"/><Relationship  Id="rId32" Type="http://schemas.openxmlformats.org/officeDocument/2006/relationships/worksheet" Target="worksheets/sheet31.xml"/><Relationship  Id="rId30" Type="http://schemas.openxmlformats.org/officeDocument/2006/relationships/worksheet" Target="worksheets/sheet29.xml"/><Relationship  Id="rId3" Type="http://schemas.openxmlformats.org/officeDocument/2006/relationships/worksheet" Target="worksheets/sheet2.xml"/><Relationship  Id="rId2" Type="http://schemas.openxmlformats.org/officeDocument/2006/relationships/worksheet" Target="worksheets/sheet1.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uthor" id="{B6FB2815-193D-8703-3A26-58AE8C315FB4}"/>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F31" personId="{B6FB2815-193D-8703-3A26-58AE8C315FB4}" id="{00FE004C-005D-4A12-9368-007F00440087}" done="0">
    <text xml:space="preserve">Выбор организации двойным щелчком левой клавиши мыши
</text>
  </threadedComment>
  <threadedComment ref="E37" personId="{B6FB2815-193D-8703-3A26-58AE8C315FB4}" id="{006A0031-00E3-4DAD-A8C7-0004007D00D2}" done="0">
    <tex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ext>
  </threadedComment>
</ThreadedComments>
</file>

<file path=xl/threadedComments/threadedComment2.xml><?xml version="1.0" encoding="utf-8"?>
<ThreadedComments xmlns="http://schemas.microsoft.com/office/spreadsheetml/2018/threadedcomments" xmlns:x="http://schemas.openxmlformats.org/spreadsheetml/2006/main">
  <threadedComment ref="AZ1" personId="{B6FB2815-193D-8703-3A26-58AE8C315FB4}" id="{0030002C-00C1-4744-94E5-0026000000DB}" done="0">
    <text xml:space="preserve">Тип организации
</text>
  </threadedComment>
  <threadedComment ref="L6" personId="{B6FB2815-193D-8703-3A26-58AE8C315FB4}" id="{005600A6-0008-4432-BD87-00920009009E}" done="0">
    <text xml:space="preserve">тут будет больше 0, если выбран хотя бы один метод, отличный от экономически обоснованных
</text>
  </threadedComment>
</ThreadedComments>
</file>

<file path=xl/threadedComments/threadedComment3.xml><?xml version="1.0" encoding="utf-8"?>
<ThreadedComments xmlns="http://schemas.microsoft.com/office/spreadsheetml/2018/threadedcomments" xmlns:x="http://schemas.openxmlformats.org/spreadsheetml/2006/main">
  <threadedComment ref="P2" personId="{B6FB2815-193D-8703-3A26-58AE8C315FB4}" id="{0082005E-00D0-4E6D-8F57-002B000C00EF}" done="0">
    <text xml:space="preserve">сюда же для некоторых формул может входить:
- VOTV
- HOTVSNA
</text>
  </threadedComment>
  <threadedComment ref="U2" personId="{B6FB2815-193D-8703-3A26-58AE8C315FB4}" id="{009D00AE-0018-4A43-A35D-00C800CD0087}" done="0">
    <text xml:space="preserve">сюда же для некоторых формул может входить:
- VOTV
- HOTVSNA
</text>
  </threadedComment>
</ThreadedComments>
</file>

<file path=xl/worksheets/_rels/sheet2.xml.rels><?xml version="1.0" encoding="UTF-8" standalone="yes"?><Relationships xmlns="http://schemas.openxmlformats.org/package/2006/relationships"><Relationship  Id="rId4" Type="http://schemas.openxmlformats.org/officeDocument/2006/relationships/vmlDrawing" Target="../drawings/vmlDrawing1.vml"/><Relationship  Id="rId3" Type="http://schemas.openxmlformats.org/officeDocument/2006/relationships/comments" Target="../comments1.xml"/><Relationship  Id="rId2" Type="http://schemas.microsoft.com/office/2017/10/relationships/threadedComment" Target="../threadedComments/threadedComment1.xml"/><Relationship  Id="rId1" Type="http://schemas.openxmlformats.org/officeDocument/2006/relationships/hyperlink" Target="mailto:Kurskikh.Alena@ogk2.ru" TargetMode="External"/></Relationships>
</file>

<file path=xl/worksheets/_rels/sheet55.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comments" Target="../comments2.xml"/><Relationship  Id="rId1" Type="http://schemas.microsoft.com/office/2017/10/relationships/threadedComment" Target="../threadedComments/threadedComment2.xml"/></Relationships>
</file>

<file path=xl/worksheets/_rels/sheet57.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comments" Target="../comments3.xml"/><Relationship  Id="rId1"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showRowColHeaders="0" topLeftCell="A1" zoomScale="100" workbookViewId="0">
      <selection activeCell="A1" activeCellId="0" sqref="A1"/>
    </sheetView>
  </sheetViews>
  <sheetFormatPr defaultColWidth="11.00390625" defaultRowHeight="12.75" customHeight="1"/>
  <cols>
    <col customWidth="1" min="1" max="1" style="1" width="5.421875"/>
    <col customWidth="1" min="2" max="2" style="1" width="9.140625"/>
    <col customWidth="1" min="3" max="3" style="1" width="16.421875"/>
    <col customWidth="1" min="4" max="25" style="1" width="6.28125"/>
    <col min="26" max="28" style="1" width="11.00390625"/>
  </cols>
  <sheetData>
    <row r="1" ht="15.75" customHeight="1">
      <c r="A1" s="2"/>
      <c r="B1" s="3"/>
      <c r="C1" s="3"/>
      <c r="D1" s="3"/>
      <c r="E1" s="3"/>
      <c r="F1" s="3"/>
      <c r="G1" s="3"/>
      <c r="H1" s="3"/>
      <c r="I1" s="3"/>
      <c r="J1" s="3"/>
      <c r="K1" s="3"/>
      <c r="L1" s="3"/>
      <c r="M1" s="3"/>
      <c r="N1" s="3"/>
      <c r="O1" s="3"/>
      <c r="P1" s="3"/>
      <c r="Q1" s="3"/>
      <c r="R1" s="3"/>
      <c r="S1" s="3"/>
      <c r="T1" s="3"/>
      <c r="U1" s="3"/>
      <c r="V1" s="3"/>
      <c r="W1" s="3"/>
      <c r="X1" s="3"/>
      <c r="Y1" s="4"/>
      <c r="Z1" s="3"/>
      <c r="AA1" s="5" t="s">
        <v>0</v>
      </c>
      <c r="AB1" s="3"/>
    </row>
    <row r="2" ht="17.25" customHeight="1">
      <c r="A2" s="3"/>
      <c r="B2" s="6" t="s">
        <v>1</v>
      </c>
      <c r="C2" s="6"/>
      <c r="D2" s="6"/>
      <c r="E2" s="6"/>
      <c r="F2" s="6"/>
      <c r="G2" s="6"/>
      <c r="H2" s="6"/>
      <c r="I2" s="6"/>
      <c r="J2" s="6"/>
      <c r="K2" s="6"/>
      <c r="L2" s="6"/>
      <c r="M2" s="6"/>
      <c r="N2" s="6"/>
      <c r="O2" s="6"/>
      <c r="P2" s="6"/>
      <c r="Q2" s="7"/>
      <c r="R2" s="7"/>
      <c r="S2" s="7"/>
      <c r="T2" s="7"/>
      <c r="U2" s="7"/>
      <c r="V2" s="8"/>
      <c r="W2" s="7"/>
      <c r="X2" s="7"/>
      <c r="Y2" s="4"/>
      <c r="Z2" s="3"/>
      <c r="AA2" s="5"/>
      <c r="AB2" s="3"/>
    </row>
    <row r="3" ht="15.75" customHeight="1">
      <c r="A3" s="3"/>
      <c r="B3" s="9" t="s">
        <v>2</v>
      </c>
      <c r="C3" s="9"/>
      <c r="D3" s="9"/>
      <c r="E3" s="9"/>
      <c r="F3" s="9"/>
      <c r="G3" s="9"/>
      <c r="H3" s="9"/>
      <c r="I3" s="9"/>
      <c r="J3" s="9"/>
      <c r="K3" s="9"/>
      <c r="L3" s="9"/>
      <c r="M3" s="9"/>
      <c r="N3" s="9"/>
      <c r="O3" s="9"/>
      <c r="P3" s="9"/>
      <c r="Q3" s="8"/>
      <c r="R3" s="8"/>
      <c r="S3" s="7"/>
      <c r="T3" s="7"/>
      <c r="U3" s="7"/>
      <c r="V3" s="8"/>
      <c r="W3" s="8"/>
      <c r="X3" s="8"/>
      <c r="Y3" s="8"/>
      <c r="Z3" s="3"/>
      <c r="AA3" s="5"/>
      <c r="AB3" s="3"/>
    </row>
    <row r="4" ht="17.25" customHeight="1">
      <c r="A4" s="3"/>
      <c r="B4" s="10"/>
      <c r="C4" s="3"/>
      <c r="D4" s="8"/>
      <c r="E4" s="8"/>
      <c r="F4" s="8"/>
      <c r="G4" s="8"/>
      <c r="H4" s="8"/>
      <c r="I4" s="8"/>
      <c r="J4" s="8"/>
      <c r="K4" s="8"/>
      <c r="L4" s="8"/>
      <c r="M4" s="8"/>
      <c r="N4" s="8"/>
      <c r="O4" s="8"/>
      <c r="P4" s="8"/>
      <c r="Q4" s="8"/>
      <c r="R4" s="8"/>
      <c r="S4" s="8"/>
      <c r="T4" s="8"/>
      <c r="U4" s="8"/>
      <c r="V4" s="8"/>
      <c r="W4" s="8"/>
      <c r="X4" s="8"/>
      <c r="Y4" s="8"/>
      <c r="Z4" s="3"/>
      <c r="AA4" s="5"/>
      <c r="AB4" s="3"/>
    </row>
    <row r="5" ht="22.5" customHeight="1">
      <c r="A5" s="11"/>
      <c r="B5" s="12" t="str">
        <f>IF(TEMPLATE_SPHERE="","Информация, подлежащая раскрытию регулируемыми организациями",Титульный!E5)</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3"/>
      <c r="D5" s="13"/>
      <c r="E5" s="13"/>
      <c r="F5" s="13"/>
      <c r="G5" s="13"/>
      <c r="H5" s="13"/>
      <c r="I5" s="13"/>
      <c r="J5" s="13"/>
      <c r="K5" s="13"/>
      <c r="L5" s="13"/>
      <c r="M5" s="13"/>
      <c r="N5" s="13"/>
      <c r="O5" s="13"/>
      <c r="P5" s="13"/>
      <c r="Q5" s="13"/>
      <c r="R5" s="13"/>
      <c r="S5" s="13"/>
      <c r="T5" s="13"/>
      <c r="U5" s="13"/>
      <c r="V5" s="13"/>
      <c r="W5" s="13"/>
      <c r="X5" s="13"/>
      <c r="Y5" s="14"/>
      <c r="Z5" s="11"/>
      <c r="AA5" s="5"/>
      <c r="AB5" s="11"/>
    </row>
    <row r="6" ht="15" customHeight="1">
      <c r="A6" s="15"/>
      <c r="B6" s="16" t="s">
        <v>3</v>
      </c>
      <c r="C6" s="17"/>
      <c r="D6" s="18"/>
      <c r="E6" s="18"/>
      <c r="F6" s="18"/>
      <c r="G6" s="18"/>
      <c r="H6" s="18"/>
      <c r="I6" s="18"/>
      <c r="J6" s="18"/>
      <c r="K6" s="18"/>
      <c r="L6" s="18"/>
      <c r="M6" s="18"/>
      <c r="N6" s="18"/>
      <c r="O6" s="18"/>
      <c r="P6" s="18"/>
      <c r="Q6" s="18"/>
      <c r="R6" s="18"/>
      <c r="S6" s="18"/>
      <c r="T6" s="18"/>
      <c r="U6" s="18"/>
      <c r="V6" s="18"/>
      <c r="W6" s="18"/>
      <c r="X6" s="18"/>
      <c r="Y6" s="19"/>
      <c r="Z6" s="20"/>
      <c r="AA6" s="21"/>
      <c r="AB6" s="21"/>
    </row>
    <row r="7" ht="15" customHeight="1">
      <c r="A7" s="15"/>
      <c r="B7" s="16"/>
      <c r="C7" s="17"/>
      <c r="D7" s="18"/>
      <c r="E7" s="18"/>
      <c r="F7" s="22"/>
      <c r="G7" s="22"/>
      <c r="H7" s="22"/>
      <c r="I7" s="22"/>
      <c r="J7" s="22"/>
      <c r="K7" s="22"/>
      <c r="L7" s="22"/>
      <c r="M7" s="22"/>
      <c r="N7" s="22"/>
      <c r="O7" s="18"/>
      <c r="P7" s="22"/>
      <c r="Q7" s="22"/>
      <c r="R7" s="22"/>
      <c r="S7" s="22"/>
      <c r="T7" s="22"/>
      <c r="U7" s="22"/>
      <c r="V7" s="22"/>
      <c r="W7" s="22"/>
      <c r="X7" s="22"/>
      <c r="Y7" s="19"/>
      <c r="Z7" s="20"/>
      <c r="AA7" s="21"/>
      <c r="AB7" s="21"/>
    </row>
    <row r="8" ht="15" customHeight="1">
      <c r="A8" s="15"/>
      <c r="B8" s="16"/>
      <c r="C8" s="17"/>
      <c r="D8" s="23"/>
      <c r="E8" s="24" t="s">
        <v>4</v>
      </c>
      <c r="F8" s="25" t="s">
        <v>5</v>
      </c>
      <c r="G8" s="26"/>
      <c r="H8" s="26"/>
      <c r="I8" s="26"/>
      <c r="J8" s="26"/>
      <c r="K8" s="26"/>
      <c r="L8" s="26"/>
      <c r="M8" s="26"/>
      <c r="N8" s="23"/>
      <c r="O8" s="27" t="s">
        <v>4</v>
      </c>
      <c r="P8" s="28" t="s">
        <v>6</v>
      </c>
      <c r="Q8" s="29"/>
      <c r="R8" s="29"/>
      <c r="S8" s="29"/>
      <c r="T8" s="29"/>
      <c r="U8" s="29"/>
      <c r="V8" s="29"/>
      <c r="W8" s="29"/>
      <c r="X8" s="29"/>
      <c r="Y8" s="19"/>
      <c r="Z8" s="20"/>
      <c r="AA8" s="21"/>
      <c r="AB8" s="21"/>
    </row>
    <row r="9" ht="15" customHeight="1">
      <c r="A9" s="15"/>
      <c r="B9" s="16"/>
      <c r="C9" s="17"/>
      <c r="D9" s="23"/>
      <c r="E9" s="30" t="s">
        <v>4</v>
      </c>
      <c r="F9" s="25" t="s">
        <v>7</v>
      </c>
      <c r="G9" s="26"/>
      <c r="H9" s="26"/>
      <c r="I9" s="26"/>
      <c r="J9" s="26"/>
      <c r="K9" s="26"/>
      <c r="L9" s="26"/>
      <c r="M9" s="26"/>
      <c r="N9" s="23"/>
      <c r="O9" s="31" t="s">
        <v>4</v>
      </c>
      <c r="P9" s="28" t="s">
        <v>8</v>
      </c>
      <c r="Q9" s="29"/>
      <c r="R9" s="29"/>
      <c r="S9" s="29"/>
      <c r="T9" s="29"/>
      <c r="U9" s="29"/>
      <c r="V9" s="29"/>
      <c r="W9" s="29"/>
      <c r="X9" s="29"/>
      <c r="Y9" s="19"/>
      <c r="Z9" s="20"/>
      <c r="AA9" s="21"/>
      <c r="AB9" s="21"/>
    </row>
    <row r="10" ht="30" customHeight="1">
      <c r="A10" s="15"/>
      <c r="B10" s="16"/>
      <c r="C10" s="32"/>
      <c r="D10" s="33"/>
      <c r="E10" s="34"/>
      <c r="F10" s="22"/>
      <c r="G10" s="22"/>
      <c r="H10" s="22"/>
      <c r="I10" s="22"/>
      <c r="J10" s="22"/>
      <c r="K10" s="22"/>
      <c r="L10" s="22"/>
      <c r="M10" s="22"/>
      <c r="N10" s="22"/>
      <c r="O10" s="34"/>
      <c r="P10" s="22"/>
      <c r="Q10" s="22"/>
      <c r="R10" s="22"/>
      <c r="S10" s="22"/>
      <c r="T10" s="22"/>
      <c r="U10" s="22"/>
      <c r="V10" s="22"/>
      <c r="W10" s="22"/>
      <c r="X10" s="22"/>
      <c r="Y10" s="19"/>
      <c r="Z10" s="20"/>
      <c r="AA10" s="21"/>
      <c r="AB10" s="21"/>
    </row>
    <row r="11" ht="19.5" customHeight="1">
      <c r="A11" s="15"/>
      <c r="B11" s="35" t="s">
        <v>9</v>
      </c>
      <c r="C11" s="36"/>
      <c r="D11" s="23"/>
      <c r="E11" s="37"/>
      <c r="F11" s="37"/>
      <c r="G11" s="37"/>
      <c r="H11" s="37"/>
      <c r="I11" s="37"/>
      <c r="J11" s="37"/>
      <c r="K11" s="37"/>
      <c r="L11" s="37"/>
      <c r="M11" s="37"/>
      <c r="N11" s="37"/>
      <c r="O11" s="37"/>
      <c r="P11" s="37"/>
      <c r="Q11" s="37"/>
      <c r="R11" s="37"/>
      <c r="S11" s="37"/>
      <c r="T11" s="37"/>
      <c r="U11" s="37"/>
      <c r="V11" s="37"/>
      <c r="W11" s="37"/>
      <c r="X11" s="37"/>
      <c r="Y11" s="19"/>
      <c r="Z11" s="20"/>
      <c r="AA11" s="21"/>
      <c r="AB11" s="21"/>
    </row>
    <row r="12" ht="69" customHeight="1">
      <c r="A12" s="15"/>
      <c r="B12" s="16"/>
      <c r="C12" s="32"/>
      <c r="D12" s="38"/>
      <c r="E12" s="26" t="s">
        <v>10</v>
      </c>
      <c r="F12" s="26"/>
      <c r="G12" s="26"/>
      <c r="H12" s="26"/>
      <c r="I12" s="26"/>
      <c r="J12" s="26"/>
      <c r="K12" s="26"/>
      <c r="L12" s="26"/>
      <c r="M12" s="26"/>
      <c r="N12" s="26"/>
      <c r="O12" s="26"/>
      <c r="P12" s="26"/>
      <c r="Q12" s="26"/>
      <c r="R12" s="26"/>
      <c r="S12" s="26"/>
      <c r="T12" s="26"/>
      <c r="U12" s="26"/>
      <c r="V12" s="26"/>
      <c r="W12" s="26"/>
      <c r="X12" s="26"/>
      <c r="Y12" s="19"/>
      <c r="Z12" s="20"/>
      <c r="AA12" s="21"/>
      <c r="AB12" s="21"/>
    </row>
    <row r="13" ht="15" customHeight="1">
      <c r="A13" s="15"/>
      <c r="B13" s="35" t="s">
        <v>11</v>
      </c>
      <c r="C13" s="36"/>
      <c r="D13" s="18"/>
      <c r="E13" s="37"/>
      <c r="F13" s="37"/>
      <c r="G13" s="37"/>
      <c r="H13" s="37"/>
      <c r="I13" s="37"/>
      <c r="J13" s="37"/>
      <c r="K13" s="37"/>
      <c r="L13" s="37"/>
      <c r="M13" s="37"/>
      <c r="N13" s="37"/>
      <c r="O13" s="37"/>
      <c r="P13" s="37"/>
      <c r="Q13" s="37"/>
      <c r="R13" s="37"/>
      <c r="S13" s="37"/>
      <c r="T13" s="37"/>
      <c r="U13" s="37"/>
      <c r="V13" s="37"/>
      <c r="W13" s="37"/>
      <c r="X13" s="37"/>
      <c r="Y13" s="19"/>
      <c r="Z13" s="20"/>
      <c r="AA13" s="21"/>
      <c r="AB13" s="21"/>
    </row>
    <row r="14" ht="57" customHeight="1">
      <c r="A14" s="15"/>
      <c r="B14" s="16"/>
      <c r="C14" s="17"/>
      <c r="D14" s="23"/>
      <c r="E14" s="39" t="s">
        <v>12</v>
      </c>
      <c r="F14" s="39"/>
      <c r="G14" s="39"/>
      <c r="H14" s="39"/>
      <c r="I14" s="39"/>
      <c r="J14" s="39"/>
      <c r="K14" s="39"/>
      <c r="L14" s="39"/>
      <c r="M14" s="39"/>
      <c r="N14" s="39"/>
      <c r="O14" s="39"/>
      <c r="P14" s="39"/>
      <c r="Q14" s="39"/>
      <c r="R14" s="39"/>
      <c r="S14" s="39"/>
      <c r="T14" s="39"/>
      <c r="U14" s="39"/>
      <c r="V14" s="39"/>
      <c r="W14" s="39"/>
      <c r="X14" s="39"/>
      <c r="Y14" s="19"/>
      <c r="Z14" s="20"/>
      <c r="AA14" s="21"/>
      <c r="AB14" s="21"/>
    </row>
    <row r="15" ht="16.5" customHeight="1">
      <c r="A15" s="15"/>
      <c r="B15" s="40"/>
      <c r="C15" s="41"/>
      <c r="D15" s="42"/>
      <c r="E15" s="43"/>
      <c r="F15" s="43"/>
      <c r="G15" s="43"/>
      <c r="H15" s="43"/>
      <c r="I15" s="43"/>
      <c r="J15" s="43"/>
      <c r="K15" s="43"/>
      <c r="L15" s="43"/>
      <c r="M15" s="43"/>
      <c r="N15" s="43"/>
      <c r="O15" s="43"/>
      <c r="P15" s="43"/>
      <c r="Q15" s="43"/>
      <c r="R15" s="43"/>
      <c r="S15" s="43"/>
      <c r="T15" s="43"/>
      <c r="U15" s="43"/>
      <c r="V15" s="43"/>
      <c r="W15" s="43"/>
      <c r="X15" s="43"/>
      <c r="Y15" s="44"/>
      <c r="Z15" s="20"/>
      <c r="AA15" s="45"/>
      <c r="AB15" s="21"/>
    </row>
    <row r="16" ht="95.25" customHeight="1">
      <c r="A16" s="3"/>
      <c r="B16" s="39"/>
      <c r="C16" s="46"/>
      <c r="D16" s="46"/>
      <c r="E16" s="46"/>
      <c r="F16" s="46"/>
      <c r="G16" s="46"/>
      <c r="H16" s="46"/>
      <c r="I16" s="46"/>
      <c r="J16" s="46"/>
      <c r="K16" s="46"/>
      <c r="L16" s="46"/>
      <c r="M16" s="46"/>
      <c r="N16" s="46"/>
      <c r="O16" s="46"/>
      <c r="P16" s="46"/>
      <c r="Q16" s="46"/>
      <c r="R16" s="46"/>
      <c r="S16" s="46"/>
      <c r="T16" s="46"/>
      <c r="U16" s="46"/>
      <c r="V16" s="46"/>
      <c r="W16" s="46"/>
      <c r="X16" s="46"/>
      <c r="Y16" s="46"/>
      <c r="Z16" s="3"/>
      <c r="AA16" s="5"/>
      <c r="AB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sheetProtection autoFilter="0" deleteColumns="0" deleteRows="0" formatCells="1" formatColumns="0" formatRows="0" insertColumns="1" insertHyperlinks="1" insertRows="0" pivotTables="1" selectLockedCells="0" selectUnlockedCells="0" sheet="0" sort="0"/>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1" zoomScale="90" workbookViewId="0">
      <selection activeCell="L34" activeCellId="0" sqref="L34"/>
    </sheetView>
  </sheetViews>
  <sheetFormatPr defaultColWidth="9.140625" defaultRowHeight="11.25" customHeight="1"/>
  <cols>
    <col customWidth="1" hidden="1" min="1" max="1" style="47" width="10.7109375"/>
    <col customWidth="1" hidden="1" min="2" max="2" style="48" width="10.7109375"/>
    <col customWidth="1" min="3" max="3" style="49" width="3.7109375"/>
    <col customWidth="1" min="4" max="4" style="50" width="1.7109375"/>
    <col customWidth="1" min="5" max="5" style="50" width="55.28125"/>
    <col customWidth="1" min="6" max="6" style="50" width="50.7109375"/>
    <col customWidth="1" min="7" max="7" style="51" width="1.7109375"/>
    <col customWidth="1" hidden="1" min="8" max="8" style="50" width="18.00390625"/>
    <col customWidth="1" min="9" max="9" style="52" width="9.57421875"/>
    <col customWidth="1" hidden="1" min="10" max="10" style="53" width="52.140625"/>
    <col min="11" max="11" style="50" width="9.140625"/>
    <col customWidth="1" min="12" max="12" style="50" width="78.00390625"/>
    <col min="13" max="16" style="50" width="9.140625"/>
  </cols>
  <sheetData>
    <row r="1" s="54" customFormat="1" ht="3" customHeight="1">
      <c r="A1" s="47"/>
      <c r="B1" s="55"/>
      <c r="F1" s="54">
        <v>26354809</v>
      </c>
      <c r="G1" s="52"/>
      <c r="H1" s="56"/>
      <c r="I1" s="52"/>
      <c r="J1" s="57"/>
    </row>
    <row r="2" s="56" customFormat="1" ht="14.25" customHeight="1">
      <c r="A2" s="47"/>
      <c r="B2" s="48"/>
      <c r="E2" s="58" t="str">
        <f>code</f>
        <v xml:space="preserve">Код отчёта: PP110.OPEN.INFO.QUARTER.HEAT.EIAS</v>
      </c>
      <c r="F2" s="59"/>
      <c r="G2" s="60"/>
      <c r="H2" s="60"/>
      <c r="I2" s="60"/>
      <c r="J2" s="61"/>
      <c r="K2" s="60"/>
    </row>
    <row r="3" ht="14.25" customHeight="1">
      <c r="E3" s="62" t="str">
        <f>version</f>
        <v xml:space="preserve">Версия отчёта: 1.0.5</v>
      </c>
      <c r="F3" s="59"/>
      <c r="G3" s="63"/>
      <c r="J3" s="64"/>
    </row>
    <row r="4" s="65" customFormat="1" ht="6" customHeight="1">
      <c r="A4" s="47"/>
      <c r="B4" s="66"/>
      <c r="C4" s="67"/>
      <c r="D4" s="68"/>
      <c r="E4" s="65"/>
      <c r="F4" s="69"/>
      <c r="G4" s="51"/>
      <c r="H4" s="50"/>
      <c r="I4" s="52"/>
      <c r="J4" s="70"/>
    </row>
    <row r="5" ht="37.5" customHeight="1">
      <c r="D5" s="71"/>
      <c r="E5" s="72" t="str">
        <f>NameTemplatesInTitle</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73"/>
      <c r="G5" s="74"/>
      <c r="J5" s="75"/>
    </row>
    <row r="6" s="65" customFormat="1" ht="6" customHeight="1">
      <c r="A6" s="47"/>
      <c r="B6" s="66"/>
      <c r="C6" s="67"/>
      <c r="D6" s="68"/>
      <c r="E6" s="76"/>
      <c r="F6" s="77"/>
      <c r="G6" s="74"/>
      <c r="H6" s="50"/>
      <c r="I6" s="52"/>
      <c r="J6" s="70"/>
    </row>
    <row r="7" ht="19.5" customHeight="1">
      <c r="D7" s="71"/>
      <c r="E7" s="78" t="s">
        <v>13</v>
      </c>
      <c r="F7" s="79" t="s">
        <v>14</v>
      </c>
      <c r="G7" s="74"/>
    </row>
    <row r="8" s="65" customFormat="1" ht="6" customHeight="1">
      <c r="A8" s="80"/>
      <c r="B8" s="66"/>
      <c r="C8" s="67"/>
      <c r="D8" s="81"/>
      <c r="E8" s="76"/>
      <c r="F8" s="82"/>
      <c r="G8" s="83"/>
      <c r="H8" s="50"/>
      <c r="I8" s="52"/>
      <c r="J8" s="84"/>
    </row>
    <row r="9" s="50" customFormat="1" ht="19.5" hidden="1" customHeight="1">
      <c r="A9" s="47"/>
      <c r="B9" s="48"/>
      <c r="C9" s="49"/>
      <c r="D9" s="71"/>
      <c r="E9" s="78" t="s">
        <v>15</v>
      </c>
      <c r="F9" s="85"/>
      <c r="G9" s="74"/>
      <c r="I9" s="52"/>
      <c r="J9" s="53"/>
    </row>
    <row r="10" s="65" customFormat="1" ht="6" customHeight="1">
      <c r="A10" s="80"/>
      <c r="B10" s="66"/>
      <c r="C10" s="67"/>
      <c r="D10" s="81"/>
      <c r="E10" s="76"/>
      <c r="F10" s="82"/>
      <c r="G10" s="83"/>
      <c r="H10" s="50"/>
      <c r="I10" s="52"/>
      <c r="J10" s="84"/>
    </row>
    <row r="11" ht="22.5" hidden="1" customHeight="1">
      <c r="A11" s="86" t="s">
        <v>16</v>
      </c>
      <c r="D11" s="71"/>
      <c r="E11" s="78" t="s">
        <v>17</v>
      </c>
      <c r="F11" s="87" t="s">
        <v>18</v>
      </c>
      <c r="G11" s="83"/>
      <c r="H11" s="88" t="s">
        <v>19</v>
      </c>
      <c r="J11" s="53" t="s">
        <v>20</v>
      </c>
    </row>
    <row r="12" ht="22.5" hidden="1" customHeight="1">
      <c r="A12" s="86"/>
      <c r="D12" s="71"/>
      <c r="E12" s="78" t="s">
        <v>21</v>
      </c>
      <c r="F12" s="87"/>
      <c r="G12" s="89"/>
      <c r="J12" s="53" t="s">
        <v>22</v>
      </c>
    </row>
    <row r="13" s="50" customFormat="1" ht="22.5" hidden="1" customHeight="1">
      <c r="A13" s="90" t="s">
        <v>23</v>
      </c>
      <c r="B13" s="48"/>
      <c r="C13" s="49"/>
      <c r="D13" s="71"/>
      <c r="E13" s="91" t="s">
        <v>24</v>
      </c>
      <c r="F13" s="87" t="s">
        <v>18</v>
      </c>
      <c r="G13" s="83"/>
      <c r="I13" s="52"/>
      <c r="J13" s="61" t="s">
        <v>25</v>
      </c>
    </row>
    <row r="14" s="50" customFormat="1" ht="27" customHeight="1">
      <c r="A14" s="90" t="s">
        <v>26</v>
      </c>
      <c r="B14" s="48"/>
      <c r="C14" s="49"/>
      <c r="D14" s="71"/>
      <c r="E14" s="78" t="s">
        <v>27</v>
      </c>
      <c r="F14" s="92">
        <v>2023</v>
      </c>
      <c r="G14" s="83"/>
      <c r="I14" s="52"/>
      <c r="J14" s="53" t="s">
        <v>28</v>
      </c>
    </row>
    <row r="15" s="50" customFormat="1" ht="19.5" customHeight="1">
      <c r="A15" s="90" t="s">
        <v>29</v>
      </c>
      <c r="B15" s="48"/>
      <c r="C15" s="49"/>
      <c r="D15" s="71"/>
      <c r="E15" s="78" t="s">
        <v>30</v>
      </c>
      <c r="F15" s="92" t="s">
        <v>31</v>
      </c>
      <c r="G15" s="83"/>
      <c r="I15" s="52"/>
      <c r="J15" s="53" t="s">
        <v>32</v>
      </c>
    </row>
    <row r="16" s="65" customFormat="1" ht="6" customHeight="1">
      <c r="A16" s="80"/>
      <c r="B16" s="66"/>
      <c r="C16" s="67"/>
      <c r="D16" s="81"/>
      <c r="E16" s="76"/>
      <c r="F16" s="82"/>
      <c r="G16" s="83"/>
      <c r="H16" s="50"/>
      <c r="I16" s="52"/>
      <c r="J16" s="70"/>
    </row>
    <row r="17" ht="19.5" customHeight="1">
      <c r="D17" s="71"/>
      <c r="E17" s="78" t="s">
        <v>33</v>
      </c>
      <c r="F17" s="93" t="s">
        <v>34</v>
      </c>
      <c r="G17" s="89"/>
      <c r="H17" s="88" t="s">
        <v>19</v>
      </c>
    </row>
    <row r="18" ht="25.5" hidden="1" customHeight="1">
      <c r="D18" s="71"/>
      <c r="E18" s="91" t="s">
        <v>35</v>
      </c>
      <c r="F18" s="94"/>
      <c r="G18" s="89"/>
      <c r="I18" s="95"/>
      <c r="J18" s="96" t="s">
        <v>36</v>
      </c>
    </row>
    <row r="19" ht="25.5" hidden="1" customHeight="1">
      <c r="D19" s="71"/>
      <c r="E19" s="78" t="str">
        <f>"Дата периода регулирования, с которой "&amp;IF(TEMPLATE_GROUP="P","вводятся","предлагаются")&amp;" изменения в тарифы"</f>
        <v xml:space="preserve">Дата периода регулирования, с которой предлагаются изменения в тарифы</v>
      </c>
      <c r="F19" s="94"/>
      <c r="G19" s="89"/>
      <c r="I19" s="95"/>
      <c r="J19" s="96"/>
    </row>
    <row r="20" ht="22.5" hidden="1" customHeight="1">
      <c r="D20" s="71"/>
      <c r="E20" s="97"/>
      <c r="F20" s="51" t="str">
        <f>"Первичное "&amp;IF(TEMPLATE_GROUP="P","установление тарифов","предложение по тарифам")</f>
        <v xml:space="preserve">Первичное предложение по тарифам</v>
      </c>
      <c r="G20" s="89"/>
      <c r="I20" s="83"/>
      <c r="J20" s="75" t="s">
        <v>37</v>
      </c>
    </row>
    <row r="21" ht="19.5" hidden="1" customHeight="1">
      <c r="D21" s="71"/>
      <c r="E21" s="78" t="str">
        <f>"Дата "&amp;IF(TEMPLATE_GROUP="P","документа","подачи заявления")&amp;" об утверждении тарифов"</f>
        <v xml:space="preserve">Дата подачи заявления об утверждении тарифов</v>
      </c>
      <c r="F21" s="87"/>
      <c r="G21" s="89"/>
      <c r="I21" s="98"/>
    </row>
    <row r="22" ht="19.5" hidden="1" customHeight="1">
      <c r="D22" s="71"/>
      <c r="E22" s="78" t="str">
        <f>"Номер "&amp;IF(TEMPLATE_GROUP="P","документа","подачи заявления")&amp;" об утверждении тарифов"</f>
        <v xml:space="preserve">Номер подачи заявления об утверждении тарифов</v>
      </c>
      <c r="F22" s="93"/>
      <c r="G22" s="89"/>
      <c r="I22" s="98"/>
    </row>
    <row r="23" ht="22.5" hidden="1" customHeight="1">
      <c r="D23" s="71"/>
      <c r="E23" s="78" t="s">
        <v>38</v>
      </c>
      <c r="F23" s="93"/>
      <c r="G23" s="89"/>
    </row>
    <row r="24" ht="19.5" hidden="1" customHeight="1">
      <c r="D24" s="71"/>
      <c r="E24" s="78" t="s">
        <v>39</v>
      </c>
      <c r="F24" s="93"/>
      <c r="G24" s="89"/>
    </row>
    <row r="25" ht="22.5" hidden="1" customHeight="1">
      <c r="D25" s="71"/>
      <c r="E25" s="97"/>
      <c r="F25" s="51" t="str">
        <f>"Изменение "&amp;IF(TEMPLATE_GROUP="P","тарифов","предложения по тарифам")</f>
        <v xml:space="preserve">Изменение предложения по тарифам</v>
      </c>
      <c r="G25" s="89"/>
      <c r="J25" s="75" t="s">
        <v>40</v>
      </c>
    </row>
    <row r="26" ht="19.5" hidden="1" customHeight="1">
      <c r="D26" s="71"/>
      <c r="E26" s="78" t="str">
        <f>"Дата "&amp;IF(TEMPLATE_GROUP="P","принятия решения","подачи заявления")&amp;" об изменении тарифов"</f>
        <v xml:space="preserve">Дата подачи заявления об изменении тарифов</v>
      </c>
      <c r="F26" s="94"/>
      <c r="G26" s="89"/>
    </row>
    <row r="27" ht="19.5" hidden="1" customHeight="1">
      <c r="D27" s="71"/>
      <c r="E27" s="78" t="str">
        <f>"Номер "&amp;IF(TEMPLATE_GROUP="P","принятия решения","заявления")&amp;" об изменении тарифов"</f>
        <v xml:space="preserve">Номер заявления об изменении тарифов</v>
      </c>
      <c r="F27" s="99"/>
      <c r="G27" s="89"/>
    </row>
    <row r="28" ht="24.75" hidden="1" customHeight="1">
      <c r="D28" s="71"/>
      <c r="E28" s="78" t="s">
        <v>41</v>
      </c>
      <c r="F28" s="99"/>
      <c r="G28" s="89"/>
    </row>
    <row r="29" ht="19.5" hidden="1" customHeight="1">
      <c r="D29" s="71"/>
      <c r="E29" s="78" t="s">
        <v>39</v>
      </c>
      <c r="F29" s="99"/>
      <c r="G29" s="89"/>
    </row>
    <row r="30" s="65" customFormat="1" ht="6" customHeight="1">
      <c r="A30" s="80"/>
      <c r="B30" s="66"/>
      <c r="C30" s="67"/>
      <c r="D30" s="81"/>
      <c r="E30" s="76"/>
      <c r="F30" s="82"/>
      <c r="G30" s="83"/>
      <c r="H30" s="50"/>
      <c r="I30" s="52"/>
      <c r="J30" s="70"/>
    </row>
    <row r="31" ht="19.5" customHeight="1">
      <c r="C31" s="100"/>
      <c r="D31" s="101"/>
      <c r="E31" s="78" t="s">
        <v>42</v>
      </c>
      <c r="F31" s="102" t="s">
        <v>43</v>
      </c>
      <c r="G31" s="103"/>
    </row>
    <row r="32" ht="19.5" hidden="1" customHeight="1">
      <c r="C32" s="100"/>
      <c r="D32" s="101"/>
      <c r="E32" s="104" t="s">
        <v>44</v>
      </c>
      <c r="F32" s="105"/>
      <c r="G32" s="103"/>
    </row>
    <row r="33" ht="19.5" customHeight="1">
      <c r="C33" s="100"/>
      <c r="D33" s="101"/>
      <c r="E33" s="78" t="s">
        <v>45</v>
      </c>
      <c r="F33" s="102" t="s">
        <v>46</v>
      </c>
      <c r="G33" s="103"/>
    </row>
    <row r="34" ht="19.5" customHeight="1">
      <c r="C34" s="100"/>
      <c r="D34" s="101"/>
      <c r="E34" s="78" t="s">
        <v>47</v>
      </c>
      <c r="F34" s="102" t="s">
        <v>48</v>
      </c>
      <c r="G34" s="103"/>
      <c r="H34" s="106"/>
    </row>
    <row r="35" s="65" customFormat="1" ht="11.25" customHeight="1">
      <c r="A35" s="80"/>
      <c r="B35" s="66"/>
      <c r="C35" s="67"/>
      <c r="D35" s="81"/>
      <c r="E35" s="76"/>
      <c r="F35" s="82"/>
      <c r="G35" s="83"/>
      <c r="H35" s="50"/>
      <c r="I35" s="52"/>
      <c r="J35" s="70"/>
    </row>
    <row r="36" ht="19.5" customHeight="1">
      <c r="A36" s="107"/>
      <c r="D36" s="101"/>
      <c r="E36" s="78" t="s">
        <v>49</v>
      </c>
      <c r="F36" s="85" t="s">
        <v>50</v>
      </c>
      <c r="G36" s="83"/>
    </row>
    <row r="37" ht="19.5" customHeight="1">
      <c r="A37" s="107"/>
      <c r="D37" s="101"/>
      <c r="E37" s="78" t="s">
        <v>51</v>
      </c>
      <c r="F37" s="85" t="s">
        <v>52</v>
      </c>
      <c r="G37" s="83"/>
    </row>
    <row r="38" s="65" customFormat="1" ht="6" customHeight="1">
      <c r="A38" s="80"/>
      <c r="B38" s="66"/>
      <c r="C38" s="67"/>
      <c r="D38" s="68"/>
      <c r="E38" s="108"/>
      <c r="F38" s="109"/>
      <c r="G38" s="89"/>
      <c r="H38" s="50"/>
      <c r="I38" s="52"/>
      <c r="J38" s="53"/>
    </row>
    <row r="39" ht="22.5" customHeight="1">
      <c r="A39" s="80"/>
      <c r="D39" s="71"/>
      <c r="E39" s="78" t="s">
        <v>53</v>
      </c>
      <c r="F39" s="110" t="s">
        <v>54</v>
      </c>
      <c r="G39" s="89"/>
      <c r="H39" s="88" t="s">
        <v>19</v>
      </c>
    </row>
    <row r="40" s="65" customFormat="1" ht="6" hidden="1" customHeight="1">
      <c r="A40" s="47"/>
      <c r="B40" s="66"/>
      <c r="C40" s="67"/>
      <c r="D40" s="68"/>
      <c r="E40" s="108"/>
      <c r="F40" s="109"/>
      <c r="G40" s="89"/>
      <c r="H40" s="50"/>
      <c r="I40" s="52"/>
      <c r="J40" s="53"/>
    </row>
    <row r="41" s="50" customFormat="1" ht="19.5" hidden="1" customHeight="1">
      <c r="A41" s="90" t="s">
        <v>23</v>
      </c>
      <c r="B41" s="48"/>
      <c r="C41" s="49"/>
      <c r="D41" s="71"/>
      <c r="E41" s="78" t="str">
        <f>"Дифференциация информации по централизованным системам  "&amp;TEMPLATE_SPHERE_RUS</f>
        <v xml:space="preserve">Дифференциация информации по централизованным системам  теплоснабжения</v>
      </c>
      <c r="F41" s="110" t="s">
        <v>54</v>
      </c>
      <c r="G41" s="89"/>
      <c r="I41" s="52"/>
      <c r="J41" s="53"/>
    </row>
    <row r="42" s="65" customFormat="1" ht="6" hidden="1" customHeight="1">
      <c r="A42" s="47"/>
      <c r="B42" s="66"/>
      <c r="C42" s="67"/>
      <c r="D42" s="68"/>
      <c r="E42" s="108"/>
      <c r="F42" s="109"/>
      <c r="G42" s="89"/>
      <c r="H42" s="50"/>
      <c r="I42" s="52"/>
      <c r="J42" s="70"/>
    </row>
    <row r="43" s="50" customFormat="1" ht="22.5" hidden="1" customHeight="1">
      <c r="A43" s="47"/>
      <c r="B43" s="48"/>
      <c r="C43" s="49"/>
      <c r="D43" s="71"/>
      <c r="E43" s="78" t="s">
        <v>55</v>
      </c>
      <c r="F43" s="110" t="s">
        <v>56</v>
      </c>
      <c r="G43" s="89"/>
      <c r="I43" s="52"/>
      <c r="J43" s="53"/>
    </row>
    <row r="44" s="50" customFormat="1" ht="22.5" hidden="1" customHeight="1">
      <c r="A44" s="47"/>
      <c r="B44" s="48"/>
      <c r="C44" s="49"/>
      <c r="D44" s="71"/>
      <c r="E44" s="78" t="s">
        <v>57</v>
      </c>
      <c r="F44" s="111"/>
      <c r="G44" s="89"/>
      <c r="I44" s="52"/>
      <c r="J44" s="53"/>
    </row>
    <row r="45" s="65" customFormat="1" ht="6" hidden="1" customHeight="1">
      <c r="A45" s="47"/>
      <c r="B45" s="66"/>
      <c r="C45" s="67"/>
      <c r="D45" s="68"/>
      <c r="E45" s="108"/>
      <c r="F45" s="109"/>
      <c r="G45" s="89"/>
      <c r="H45" s="50"/>
      <c r="I45" s="52"/>
      <c r="J45" s="53"/>
    </row>
    <row r="46" s="65" customFormat="1" ht="22.5" hidden="1" customHeight="1">
      <c r="A46" s="47"/>
      <c r="B46" s="66"/>
      <c r="C46" s="67"/>
      <c r="D46" s="68"/>
      <c r="E46" s="78" t="s">
        <v>58</v>
      </c>
      <c r="F46" s="110" t="s">
        <v>54</v>
      </c>
      <c r="G46" s="89"/>
      <c r="H46" s="50"/>
      <c r="I46" s="52"/>
      <c r="J46" s="53"/>
    </row>
    <row r="47" s="50" customFormat="1" ht="22.5" hidden="1" customHeight="1">
      <c r="A47" s="47"/>
      <c r="B47" s="48"/>
      <c r="C47" s="49"/>
      <c r="D47" s="71"/>
      <c r="E47" s="78" t="s">
        <v>59</v>
      </c>
      <c r="F47" s="110" t="s">
        <v>54</v>
      </c>
      <c r="G47" s="89"/>
      <c r="I47" s="52"/>
      <c r="J47" s="53"/>
    </row>
    <row r="48" s="65" customFormat="1" ht="6" hidden="1" customHeight="1">
      <c r="A48" s="47"/>
      <c r="B48" s="66"/>
      <c r="C48" s="67"/>
      <c r="D48" s="68"/>
      <c r="E48" s="108"/>
      <c r="F48" s="109"/>
      <c r="G48" s="89"/>
      <c r="H48" s="50"/>
      <c r="I48" s="52"/>
      <c r="J48" s="53"/>
    </row>
    <row r="49" ht="19.5" hidden="1" customHeight="1">
      <c r="B49" s="48"/>
      <c r="D49" s="71"/>
      <c r="E49" s="78" t="str">
        <f>"Организация осуществляет подключение (технологическое присоединение) к системе "&amp;TEMPLATE_SPHERE_RUS</f>
        <v xml:space="preserve">Организация осуществляет подключение (технологическое присоединение) к системе теплоснабжения</v>
      </c>
      <c r="F49" s="110"/>
      <c r="G49" s="89"/>
    </row>
    <row r="50" s="65" customFormat="1" ht="6" hidden="1" customHeight="1">
      <c r="A50" s="80"/>
      <c r="B50" s="66"/>
      <c r="C50" s="67"/>
      <c r="D50" s="81"/>
      <c r="E50" s="76"/>
      <c r="F50" s="82"/>
      <c r="G50" s="83"/>
      <c r="H50" s="50"/>
      <c r="I50" s="52"/>
      <c r="J50" s="53"/>
    </row>
    <row r="51" s="50" customFormat="1" ht="22.5" hidden="1" customHeight="1">
      <c r="A51" s="112"/>
      <c r="B51" s="48"/>
      <c r="C51" s="49"/>
      <c r="D51" s="52"/>
      <c r="E51" s="78" t="s">
        <v>60</v>
      </c>
      <c r="F51" s="110" t="s">
        <v>54</v>
      </c>
      <c r="G51" s="51"/>
      <c r="I51" s="113"/>
      <c r="J51" s="53"/>
      <c r="P51" s="114"/>
    </row>
    <row r="52" s="65" customFormat="1" ht="6" hidden="1" customHeight="1">
      <c r="A52" s="80"/>
      <c r="B52" s="66"/>
      <c r="C52" s="67"/>
      <c r="D52" s="81"/>
      <c r="E52" s="76"/>
      <c r="F52" s="82"/>
      <c r="G52" s="83"/>
      <c r="H52" s="50"/>
      <c r="I52" s="52"/>
      <c r="J52" s="70"/>
    </row>
    <row r="53" s="50" customFormat="1" ht="22.5" hidden="1" customHeight="1">
      <c r="A53" s="112"/>
      <c r="B53" s="48"/>
      <c r="C53" s="49"/>
      <c r="D53" s="52"/>
      <c r="E53" s="78" t="s">
        <v>61</v>
      </c>
      <c r="F53" s="115" t="s">
        <v>54</v>
      </c>
      <c r="G53" s="51"/>
      <c r="I53" s="113"/>
      <c r="J53" s="53"/>
      <c r="P53" s="114"/>
    </row>
    <row r="54" s="50" customFormat="1" ht="22.5" hidden="1" customHeight="1">
      <c r="A54" s="112"/>
      <c r="B54" s="48"/>
      <c r="C54" s="49"/>
      <c r="D54" s="52"/>
      <c r="E54" s="78" t="s">
        <v>62</v>
      </c>
      <c r="F54" s="116"/>
      <c r="G54" s="51"/>
      <c r="I54" s="113"/>
      <c r="J54" s="53"/>
      <c r="P54" s="114"/>
    </row>
    <row r="55" s="65" customFormat="1" ht="6" hidden="1" customHeight="1">
      <c r="A55" s="80"/>
      <c r="B55" s="66"/>
      <c r="C55" s="67"/>
      <c r="D55" s="81"/>
      <c r="E55" s="76"/>
      <c r="F55" s="82"/>
      <c r="G55" s="83"/>
      <c r="H55" s="50"/>
      <c r="I55" s="52"/>
      <c r="J55" s="70"/>
    </row>
    <row r="56" s="50" customFormat="1" ht="22.5" hidden="1" customHeight="1">
      <c r="A56" s="112"/>
      <c r="B56" s="48"/>
      <c r="C56" s="49"/>
      <c r="D56" s="52"/>
      <c r="E56" s="78" t="s">
        <v>63</v>
      </c>
      <c r="F56" s="115" t="s">
        <v>54</v>
      </c>
      <c r="G56" s="51"/>
      <c r="I56" s="113"/>
      <c r="J56" s="53"/>
      <c r="P56" s="114"/>
    </row>
    <row r="57" s="65" customFormat="1" ht="6" hidden="1" customHeight="1">
      <c r="A57" s="80"/>
      <c r="B57" s="66"/>
      <c r="C57" s="67"/>
      <c r="D57" s="81"/>
      <c r="E57" s="76"/>
      <c r="F57" s="82"/>
      <c r="G57" s="83"/>
      <c r="H57" s="50"/>
      <c r="I57" s="52"/>
      <c r="J57" s="70"/>
    </row>
    <row r="58" s="50" customFormat="1" ht="15" hidden="1" customHeight="1">
      <c r="A58" s="112"/>
      <c r="B58" s="48"/>
      <c r="C58" s="49"/>
      <c r="D58" s="52"/>
      <c r="E58" s="78" t="s">
        <v>64</v>
      </c>
      <c r="F58" s="115" t="s">
        <v>56</v>
      </c>
      <c r="G58" s="51"/>
      <c r="I58" s="113"/>
      <c r="J58" s="53"/>
      <c r="P58" s="114"/>
    </row>
    <row r="59" s="50" customFormat="1" ht="15" hidden="1" customHeight="1">
      <c r="A59" s="112"/>
      <c r="B59" s="48"/>
      <c r="C59" s="49"/>
      <c r="D59" s="52"/>
      <c r="E59" s="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 xml:space="preserve">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5"/>
      <c r="G59" s="51"/>
      <c r="I59" s="113"/>
      <c r="J59" s="53"/>
      <c r="P59" s="114"/>
    </row>
    <row r="60" s="50" customFormat="1" ht="15" hidden="1" customHeight="1">
      <c r="A60" s="112"/>
      <c r="B60" s="48"/>
      <c r="C60" s="49"/>
      <c r="D60" s="52"/>
      <c r="E60" s="78" t="s">
        <v>65</v>
      </c>
      <c r="F60" s="85"/>
      <c r="G60" s="51"/>
      <c r="I60" s="113"/>
      <c r="J60" s="53"/>
      <c r="P60" s="114"/>
    </row>
    <row r="61" s="65" customFormat="1" ht="6" hidden="1" customHeight="1">
      <c r="A61" s="80"/>
      <c r="B61" s="66"/>
      <c r="C61" s="67"/>
      <c r="D61" s="68"/>
      <c r="E61" s="108"/>
      <c r="F61" s="109"/>
      <c r="G61" s="89"/>
      <c r="H61" s="50"/>
      <c r="I61" s="52"/>
      <c r="J61" s="53"/>
    </row>
    <row r="62" s="50" customFormat="1" ht="33.75" hidden="1" customHeight="1">
      <c r="A62" s="80"/>
      <c r="B62" s="48"/>
      <c r="C62" s="49"/>
      <c r="D62" s="71"/>
      <c r="E62" s="78" t="s">
        <v>66</v>
      </c>
      <c r="F62" s="110" t="s">
        <v>56</v>
      </c>
      <c r="G62" s="89"/>
      <c r="H62" s="88" t="s">
        <v>19</v>
      </c>
      <c r="I62" s="52"/>
      <c r="J62" s="53"/>
    </row>
    <row r="63" s="65" customFormat="1" ht="6" customHeight="1">
      <c r="A63" s="80"/>
      <c r="B63" s="66"/>
      <c r="C63" s="67"/>
      <c r="D63" s="81"/>
      <c r="E63" s="76"/>
      <c r="F63" s="82"/>
      <c r="G63" s="83"/>
      <c r="H63" s="50"/>
      <c r="I63" s="52"/>
      <c r="J63" s="70"/>
    </row>
    <row r="64" ht="19.5" customHeight="1">
      <c r="A64" s="47"/>
      <c r="B64" s="117"/>
      <c r="D64" s="118"/>
      <c r="E64" s="78" t="s">
        <v>67</v>
      </c>
      <c r="F64" s="93" t="s">
        <v>68</v>
      </c>
      <c r="G64" s="83"/>
    </row>
    <row r="65" ht="19.5" customHeight="1">
      <c r="A65" s="47"/>
      <c r="B65" s="117"/>
      <c r="D65" s="118"/>
      <c r="E65" s="78" t="s">
        <v>69</v>
      </c>
      <c r="F65" s="93" t="s">
        <v>70</v>
      </c>
      <c r="G65" s="83"/>
    </row>
    <row r="66" ht="35.25" customHeight="1">
      <c r="D66" s="71"/>
      <c r="E66" s="119" t="s">
        <v>71</v>
      </c>
      <c r="F66" s="120"/>
      <c r="G66" s="89"/>
    </row>
    <row r="67" ht="19.5" customHeight="1">
      <c r="A67" s="47"/>
      <c r="D67" s="71"/>
      <c r="E67" s="78" t="s">
        <v>72</v>
      </c>
      <c r="F67" s="93" t="s">
        <v>73</v>
      </c>
      <c r="G67" s="83"/>
    </row>
    <row r="68" ht="19.5" customHeight="1">
      <c r="A68" s="47"/>
      <c r="B68" s="117"/>
      <c r="D68" s="118"/>
      <c r="E68" s="78" t="s">
        <v>74</v>
      </c>
      <c r="F68" s="93" t="s">
        <v>75</v>
      </c>
      <c r="G68" s="83"/>
    </row>
    <row r="69" ht="19.5" customHeight="1">
      <c r="A69" s="47"/>
      <c r="B69" s="117"/>
      <c r="D69" s="118"/>
      <c r="E69" s="78" t="s">
        <v>76</v>
      </c>
      <c r="F69" s="93" t="s">
        <v>77</v>
      </c>
      <c r="G69" s="83"/>
    </row>
    <row r="70" ht="19.5" customHeight="1">
      <c r="D70" s="71"/>
      <c r="E70" s="78" t="s">
        <v>78</v>
      </c>
      <c r="F70" s="121" t="s">
        <v>79</v>
      </c>
      <c r="G70" s="89"/>
    </row>
    <row r="71" ht="20.25" customHeight="1">
      <c r="A71" s="47"/>
      <c r="D71" s="89"/>
      <c r="F71" s="122"/>
      <c r="G71" s="83"/>
    </row>
    <row r="72" ht="19.5" customHeight="1">
      <c r="A72" s="47"/>
      <c r="B72" s="117"/>
      <c r="D72" s="118"/>
      <c r="E72" s="123"/>
      <c r="F72" s="124"/>
      <c r="G72" s="83"/>
    </row>
    <row r="73" ht="19.5" customHeight="1">
      <c r="A73" s="47"/>
      <c r="B73" s="117"/>
      <c r="D73" s="118"/>
      <c r="E73" s="123"/>
      <c r="F73" s="124"/>
      <c r="G73" s="83"/>
    </row>
    <row r="74" ht="19.5" customHeight="1">
      <c r="A74" s="47"/>
      <c r="B74" s="117"/>
      <c r="D74" s="118"/>
      <c r="E74" s="125"/>
      <c r="F74" s="124"/>
      <c r="G74" s="83"/>
    </row>
    <row r="75" ht="19.5" customHeight="1">
      <c r="A75" s="47"/>
      <c r="B75" s="117"/>
      <c r="D75" s="118"/>
      <c r="E75" s="123"/>
      <c r="F75" s="124"/>
      <c r="G75" s="83"/>
    </row>
    <row r="78" ht="11.25" customHeight="1">
      <c r="E78" s="126"/>
      <c r="F78" s="126"/>
      <c r="G78" s="126"/>
      <c r="H78" s="126"/>
      <c r="I78" s="126"/>
    </row>
  </sheetData>
  <sheetProtection autoFilter="0" deleteColumns="0" deleteRows="0" formatCells="1" formatColumns="0" formatRows="0" insertColumns="1" insertHyperlinks="1" insertRows="0" pivotTables="1" selectLockedCells="0" selectUnlockedCells="0" sheet="0" sort="0"/>
  <mergeCells count="3">
    <mergeCell ref="E5:F5"/>
    <mergeCell ref="A11:A12"/>
    <mergeCell ref="J18:J19"/>
  </mergeCells>
  <dataValidations count="3" disablePrompts="0">
    <dataValidation sqref="F54" type="none" allowBlank="1" errorStyle="stop" imeMode="noControl" operator="between" prompt="Выберите значение из календаря (иконка справа от выбранной ячейки), либо введите дату непосредственно в ячейку в формате - 'ДД.ММ.ГГГГ'" showDropDown="0" showErrorMessage="1" showInputMessage="1"/>
    <dataValidation sqref="F49 F53 F56 F58 F51 F39:F41 F43 F45:F47 F6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F26 F21 F18:F19 F11:F1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hyperlinks>
    <hyperlink location="'Титульный'!H9" ref="H11" tooltip="Помощь по работе с полями отчётной формы"/>
    <hyperlink location="'Титульный'!H9" ref="H17" tooltip="Помощь по работе с полями отчётной формы"/>
    <hyperlink location="'Титульный'!H9" ref="H39" tooltip="Помощь по работе с полями отчётной формы"/>
    <hyperlink location="'Титульный'!H9" ref="H62" tooltip="Помощь по работе с полями отчётной формы"/>
    <hyperlink r:id="rId1" ref="F70"/>
  </hyperlinks>
  <printOptions headings="0" gridLines="0"/>
  <pageMargins left="0.75" right="0.75" top="1" bottom="1" header="0.5" footer="0.5"/>
  <pageSetup paperSize="8"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4"/>
  <extLst>
    <ext xmlns:x14="http://schemas.microsoft.com/office/spreadsheetml/2009/9/main" uri="{CCE6A557-97BC-4b89-ADB6-D9C93CAAB3DF}">
      <x14:dataValidations xmlns:xm="http://schemas.microsoft.com/office/excel/2006/main" count="8" disablePrompts="0">
        <x14:dataValidation xr:uid="{00C3003E-004A-4977-AEBD-002E004F00FD}" type="list" allowBlank="1" error="Выберите значение из списка" errorStyle="stop" errorTitle="Ошибка" imeMode="noControl" operator="between" prompt="Выберите значение из списка" showDropDown="0" showErrorMessage="1" showInputMessage="1">
          <x14:formula1>
            <xm:f>ROIV_INFO_LIST</xm:f>
          </x14:formula1>
          <xm:sqref>F9</xm:sqref>
        </x14:dataValidation>
        <x14:dataValidation xr:uid="{0071003E-009B-4E4F-95A5-00FD000F0002}" type="list" allowBlank="1" error="Выберите значение из списка" errorStyle="stop" errorTitle="Ошибка" imeMode="noControl" operator="between" prompt="Выберите значение из списка" showDropDown="0" showErrorMessage="1" showInputMessage="1">
          <x14:formula1>
            <xm:f>TITLE_IP_DETAILED_METHOD_LIST</xm:f>
          </x14:formula1>
          <xm:sqref>F60</xm:sqref>
        </x14:dataValidation>
        <x14:dataValidation xr:uid="{008C001F-002D-47E3-A823-008900B10078}" type="list" allowBlank="1" error="Выберите значение из списка" errorStyle="stop" errorTitle="Ошибка" imeMode="noControl" operator="between" prompt="Выберите значение из списка" showDropDown="0" showErrorMessage="1" showInputMessage="1">
          <x14:formula1>
            <xm:f>QUARTER</xm:f>
          </x14:formula1>
          <xm:sqref>F15</xm:sqref>
        </x14:dataValidation>
        <x14:dataValidation xr:uid="{008A0091-00EF-42B8-998E-00390094006A}" type="list" allowBlank="1" error="Выберите значение из списка" errorStyle="stop" errorTitle="Ошибка" imeMode="noControl" operator="between" prompt="Выберите значение из списка" showDropDown="0" showErrorMessage="1" showInputMessage="1">
          <x14:formula1>
            <xm:f>year_list</xm:f>
          </x14:formula1>
          <xm:sqref>F14</xm:sqref>
        </x14:dataValidation>
        <x14:dataValidation xr:uid="{00040035-00D8-42A8-A01B-002300DA00F6}"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kind_of_org_type</xm:f>
          </x14:formula1>
          <xm:sqref>F36</xm:sqref>
        </x14:dataValidation>
        <x14:dataValidation xr:uid="{00390022-005F-4B5E-8769-009500E900D1}"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kind_of_data_type</xm:f>
          </x14:formula1>
          <xm:sqref>F17</xm:sqref>
        </x14:dataValidation>
        <x14:dataValidation xr:uid="{008A0061-0001-48DD-92F4-008D00ED00C1}"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kind_of_NDS</xm:f>
          </x14:formula1>
          <xm:sqref>F37:F38 F61</xm:sqref>
        </x14:dataValidation>
        <x14:dataValidation xr:uid="{00FC0071-00BE-47F9-B0A0-004100530022}" type="textLength" allowBlank="1" error="Допускается ввод не более 900 символов!" errorStyle="stop" errorTitle="Ошибка" imeMode="noControl" operator="lessThanOrEqual" showDropDown="0" showErrorMessage="1" showInputMessage="1">
          <x14:formula1>
            <xm:f>900</xm:f>
          </x14:formula1>
          <xm:sqref>F72:F75 F64:F65 F67:F70 F22:F24 F27:F29 F32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topLeftCell="C2" zoomScale="90" workbookViewId="0">
      <selection activeCell="G14" activeCellId="0" sqref="G14"/>
    </sheetView>
  </sheetViews>
  <sheetFormatPr defaultColWidth="9.140625" defaultRowHeight="14.25" customHeight="1"/>
  <cols>
    <col customWidth="1" hidden="1" min="1" max="1" style="50" width="8.00390625"/>
    <col customWidth="1" hidden="1" min="2" max="2" style="53" width="6.00390625"/>
    <col customWidth="1" min="3" max="3" style="50" width="3.7109375"/>
    <col customWidth="1" min="4" max="4" style="127" width="3.7109375"/>
    <col customWidth="1" min="5" max="5" style="50" width="6.28125"/>
    <col customWidth="1" hidden="1" min="6" max="6" style="50" width="2.7109375"/>
    <col customWidth="1" min="7" max="7" style="50" width="46.7109375"/>
    <col customWidth="1" min="8" max="8" style="50" width="43.140625"/>
    <col customWidth="1" min="9" max="9" style="50" width="14.8515625"/>
    <col customWidth="1" min="10" max="10" style="128" width="3.7109375"/>
    <col hidden="1" min="11" max="13" style="128" width="9.140625"/>
    <col customWidth="1" hidden="1" min="14" max="14" style="128" width="25.7109375"/>
    <col customWidth="1" hidden="1" min="15" max="15" style="128" width="14.421875"/>
    <col hidden="1" min="16" max="19" style="129" width="9.140625"/>
    <col hidden="1" min="20" max="27" style="50" width="9.140625"/>
    <col min="28" max="28" style="50" width="9.140625"/>
  </cols>
  <sheetData>
    <row r="1" s="57" customFormat="1" ht="5.25" hidden="1" customHeight="1">
      <c r="A1" s="130"/>
      <c r="B1" s="57"/>
      <c r="C1" s="57"/>
      <c r="D1" s="131"/>
      <c r="F1" s="57"/>
      <c r="G1" s="132" t="s">
        <v>80</v>
      </c>
      <c r="H1" s="131" t="s">
        <v>81</v>
      </c>
      <c r="I1" s="133" t="s">
        <v>82</v>
      </c>
      <c r="J1" s="132" t="s">
        <v>80</v>
      </c>
      <c r="K1" s="132"/>
      <c r="L1" s="132"/>
      <c r="M1" s="132"/>
      <c r="N1" s="132"/>
      <c r="O1" s="132"/>
      <c r="P1" s="132"/>
      <c r="Q1" s="132"/>
      <c r="R1" s="132"/>
      <c r="S1" s="132"/>
      <c r="T1" s="133"/>
      <c r="U1" s="133"/>
      <c r="V1" s="133"/>
      <c r="W1" s="133"/>
      <c r="X1" s="133"/>
      <c r="Y1" s="133"/>
      <c r="Z1" s="133"/>
      <c r="AA1" s="133"/>
      <c r="AB1" s="133"/>
    </row>
    <row r="2" s="134" customFormat="1" ht="11.25" customHeight="1">
      <c r="A2" s="120"/>
      <c r="B2" s="135"/>
      <c r="C2" s="135"/>
      <c r="D2" s="136"/>
      <c r="E2" s="135"/>
      <c r="F2" s="135"/>
      <c r="G2" s="135"/>
      <c r="H2" s="135"/>
      <c r="I2" s="135"/>
      <c r="J2" s="132"/>
      <c r="K2" s="132"/>
      <c r="L2" s="132"/>
      <c r="M2" s="132"/>
      <c r="N2" s="132"/>
      <c r="O2" s="132"/>
      <c r="P2" s="137"/>
      <c r="Q2" s="137"/>
      <c r="R2" s="137"/>
      <c r="S2" s="137"/>
      <c r="T2" s="136"/>
      <c r="U2" s="136"/>
      <c r="V2" s="136"/>
      <c r="W2" s="136"/>
      <c r="X2" s="136"/>
      <c r="Y2" s="136"/>
      <c r="Z2" s="136"/>
      <c r="AA2" s="136"/>
      <c r="AB2" s="136"/>
    </row>
    <row r="3" s="138" customFormat="1" ht="3" customHeight="1">
      <c r="A3" s="50"/>
      <c r="B3" s="53"/>
      <c r="C3" s="50"/>
      <c r="D3" s="127"/>
      <c r="E3" s="50"/>
      <c r="F3" s="50"/>
      <c r="G3" s="50"/>
      <c r="H3" s="50"/>
      <c r="I3" s="139"/>
      <c r="J3" s="132"/>
      <c r="K3" s="128"/>
      <c r="L3" s="128"/>
      <c r="M3" s="128"/>
      <c r="N3" s="128"/>
      <c r="O3" s="128"/>
      <c r="P3" s="129"/>
      <c r="Q3" s="129"/>
      <c r="R3" s="129"/>
      <c r="S3" s="129"/>
    </row>
    <row r="4" s="138" customFormat="1" ht="25.5" customHeight="1">
      <c r="A4" s="50"/>
      <c r="B4" s="53"/>
      <c r="C4" s="50"/>
      <c r="D4" s="127"/>
      <c r="E4" s="140" t="str">
        <f>NameTemplatesInListMO</f>
        <v xml:space="preserve">Перечень муниципальных районов и муниципальных образований (территорий действия тарифа)</v>
      </c>
      <c r="F4" s="140"/>
      <c r="G4" s="140"/>
      <c r="H4" s="140"/>
      <c r="I4" s="140"/>
      <c r="J4" s="132"/>
      <c r="K4" s="128"/>
      <c r="L4" s="128"/>
      <c r="M4" s="128"/>
      <c r="N4" s="128"/>
      <c r="O4" s="128"/>
      <c r="P4" s="129"/>
      <c r="Q4" s="129"/>
      <c r="R4" s="129"/>
      <c r="S4" s="129"/>
    </row>
    <row r="5" s="138" customFormat="1" ht="3" customHeight="1">
      <c r="A5" s="50"/>
      <c r="B5" s="53"/>
      <c r="C5" s="50"/>
      <c r="D5" s="127"/>
      <c r="E5" s="50"/>
      <c r="F5" s="50"/>
      <c r="G5" s="141"/>
      <c r="H5" s="141"/>
      <c r="I5" s="120"/>
      <c r="J5" s="128"/>
      <c r="K5" s="128"/>
      <c r="L5" s="128"/>
      <c r="M5" s="128"/>
      <c r="N5" s="128"/>
      <c r="O5" s="128"/>
      <c r="P5" s="129"/>
      <c r="Q5" s="129"/>
      <c r="R5" s="129"/>
      <c r="S5" s="129"/>
    </row>
    <row r="6" s="138" customFormat="1" ht="20.25" hidden="1" customHeight="1">
      <c r="A6" s="142"/>
      <c r="B6" s="64"/>
      <c r="C6" s="142"/>
      <c r="D6" s="127"/>
      <c r="E6" s="124"/>
      <c r="F6" s="124"/>
      <c r="G6" s="141"/>
      <c r="H6" s="143"/>
      <c r="I6" s="143"/>
      <c r="J6" s="128"/>
      <c r="K6" s="128"/>
      <c r="L6" s="128"/>
      <c r="M6" s="128"/>
      <c r="N6" s="128"/>
      <c r="O6" s="128"/>
      <c r="P6" s="129"/>
      <c r="Q6" s="129"/>
      <c r="R6" s="129"/>
      <c r="S6" s="129"/>
    </row>
    <row r="7" ht="25.5" hidden="1" customHeight="1"/>
    <row r="8" s="138" customFormat="1" ht="14.25" customHeight="1">
      <c r="A8" s="50"/>
      <c r="B8" s="53"/>
      <c r="C8" s="50"/>
      <c r="D8" s="127"/>
      <c r="E8" s="73" t="s">
        <v>83</v>
      </c>
      <c r="F8" s="144"/>
      <c r="G8" s="72"/>
      <c r="H8" s="145" t="s">
        <v>84</v>
      </c>
      <c r="I8" s="145"/>
      <c r="J8" s="128"/>
      <c r="K8" s="128"/>
      <c r="L8" s="128"/>
      <c r="M8" s="128"/>
      <c r="N8" s="128"/>
      <c r="O8" s="128"/>
      <c r="P8" s="129"/>
      <c r="Q8" s="129"/>
      <c r="R8" s="129"/>
      <c r="S8" s="129"/>
    </row>
    <row r="9" s="138" customFormat="1" ht="20.25" customHeight="1">
      <c r="A9" s="50"/>
      <c r="B9" s="53"/>
      <c r="C9" s="50"/>
      <c r="D9" s="127"/>
      <c r="E9" s="146" t="s">
        <v>85</v>
      </c>
      <c r="F9" s="146"/>
      <c r="G9" s="147" t="s">
        <v>86</v>
      </c>
      <c r="H9" s="147" t="s">
        <v>86</v>
      </c>
      <c r="I9" s="147" t="s">
        <v>82</v>
      </c>
      <c r="J9" s="128"/>
      <c r="K9" s="128"/>
      <c r="L9" s="128"/>
      <c r="M9" s="128"/>
      <c r="N9" s="128"/>
      <c r="O9" s="128"/>
      <c r="P9" s="129"/>
      <c r="Q9" s="129"/>
      <c r="R9" s="129"/>
      <c r="S9" s="129"/>
    </row>
    <row r="10" ht="11.25" customHeight="1">
      <c r="D10" s="148"/>
      <c r="E10" s="149" t="s">
        <v>87</v>
      </c>
      <c r="F10" s="149"/>
      <c r="G10" s="149" t="s">
        <v>88</v>
      </c>
      <c r="H10" s="149" t="s">
        <v>89</v>
      </c>
      <c r="I10" s="149" t="s">
        <v>90</v>
      </c>
      <c r="J10" s="150"/>
      <c r="K10" s="150"/>
      <c r="L10" s="150"/>
      <c r="M10" s="150"/>
      <c r="N10" s="150"/>
      <c r="O10" s="150"/>
      <c r="P10" s="151"/>
      <c r="Q10" s="151"/>
      <c r="R10" s="151"/>
      <c r="S10" s="151"/>
    </row>
    <row r="11" s="138" customFormat="1" ht="0.75" customHeight="1">
      <c r="A11" s="50"/>
      <c r="B11" s="53"/>
      <c r="C11" s="50"/>
      <c r="D11" s="127"/>
      <c r="E11" s="152"/>
      <c r="F11" s="152"/>
      <c r="G11" s="153"/>
      <c r="H11" s="153"/>
      <c r="I11" s="154"/>
      <c r="J11" s="155" t="s">
        <v>91</v>
      </c>
      <c r="K11" s="128"/>
      <c r="L11" s="128"/>
      <c r="M11" s="128" t="s">
        <v>92</v>
      </c>
      <c r="N11" s="128" t="s">
        <v>93</v>
      </c>
      <c r="O11" s="128" t="s">
        <v>94</v>
      </c>
      <c r="P11" s="129"/>
      <c r="Q11" s="129"/>
      <c r="R11" s="129"/>
      <c r="S11" s="129"/>
    </row>
    <row r="12" s="138" customFormat="1" ht="14.25" customHeight="1">
      <c r="A12" s="51">
        <v>1</v>
      </c>
      <c r="B12" s="53"/>
      <c r="C12" s="50"/>
      <c r="D12" s="127"/>
      <c r="E12" s="156">
        <f>A12</f>
        <v>1</v>
      </c>
      <c r="F12" s="157" t="s">
        <v>95</v>
      </c>
      <c r="G12" s="158" t="str">
        <f>"Территория "&amp;E12</f>
        <v xml:space="preserve">Территория 1</v>
      </c>
      <c r="H12" s="159"/>
      <c r="I12" s="159"/>
      <c r="J12" s="128"/>
      <c r="K12" s="128"/>
      <c r="L12" s="128"/>
      <c r="M12" s="128"/>
      <c r="N12" s="128"/>
      <c r="O12" s="128"/>
      <c r="P12" s="129"/>
      <c r="Q12" s="129"/>
      <c r="R12" s="129"/>
      <c r="S12" s="129"/>
    </row>
    <row r="13" s="63" customFormat="1" ht="15" customHeight="1">
      <c r="A13" s="51"/>
      <c r="B13" s="53">
        <v>1</v>
      </c>
      <c r="C13" s="53"/>
      <c r="D13" s="160"/>
      <c r="E13" s="161" t="str">
        <f>A12&amp;"."&amp;B13</f>
        <v>1.1</v>
      </c>
      <c r="F13" s="162" t="s">
        <v>96</v>
      </c>
      <c r="G13" s="163" t="s">
        <v>97</v>
      </c>
      <c r="H13" s="163" t="s">
        <v>97</v>
      </c>
      <c r="I13" s="164" t="s">
        <v>98</v>
      </c>
      <c r="J13" s="128" t="e">
        <f>MERGEVALUE(G13)</f>
        <v>#NAME?</v>
      </c>
      <c r="K13" s="57"/>
      <c r="L13" s="57"/>
      <c r="M13" s="128" t="str">
        <f t="array" ref="M13">IF(ISERROR(MATCH(MID(N13,1,250),MID(note_ter,1,250),0)),"n","y")</f>
        <v>n</v>
      </c>
      <c r="N13" s="57"/>
      <c r="O13" s="128" t="str">
        <f t="shared" ref="O13:O14" si="0">H13&amp;"("&amp;I13&amp;")"</f>
        <v xml:space="preserve">Город-курорт Сочи(03726000)</v>
      </c>
      <c r="P13" s="53"/>
      <c r="Q13" s="53"/>
      <c r="R13" s="165"/>
      <c r="S13" s="53"/>
      <c r="T13" s="53"/>
      <c r="U13" s="53"/>
      <c r="V13" s="64"/>
      <c r="W13" s="64"/>
      <c r="X13" s="166"/>
      <c r="Y13" s="166"/>
      <c r="Z13" s="166"/>
      <c r="AA13" s="166"/>
      <c r="AB13" s="166"/>
    </row>
    <row r="14" ht="15" customHeight="1">
      <c r="A14" s="113"/>
      <c r="B14" s="53" t="s">
        <v>99</v>
      </c>
      <c r="C14" s="53"/>
      <c r="D14" s="160" t="s">
        <v>100</v>
      </c>
      <c r="E14" s="156" t="str">
        <f>A12&amp;"."&amp;B14</f>
        <v>1.2</v>
      </c>
      <c r="F14" s="167" t="s">
        <v>101</v>
      </c>
      <c r="G14" s="168" t="s">
        <v>102</v>
      </c>
      <c r="H14" s="168" t="s">
        <v>102</v>
      </c>
      <c r="I14" s="169" t="s">
        <v>103</v>
      </c>
      <c r="J14" s="128"/>
      <c r="K14" s="57"/>
      <c r="L14" s="57"/>
      <c r="M14" s="128" t="str">
        <f t="array" ref="M14">IF(ISERROR(MATCH(MID(N14,1,250),MID(note_ter,1,250),0)),"n","y")</f>
        <v>n</v>
      </c>
      <c r="N14" s="57"/>
      <c r="O14" s="128" t="str">
        <f t="shared" si="0"/>
        <v>Сириус(03731000)</v>
      </c>
      <c r="P14" s="53"/>
      <c r="Q14" s="53"/>
      <c r="R14" s="165"/>
      <c r="S14" s="53"/>
      <c r="T14" s="53"/>
      <c r="U14" s="53"/>
      <c r="V14" s="64"/>
      <c r="W14" s="64"/>
      <c r="X14" s="166"/>
      <c r="Y14" s="166"/>
      <c r="Z14" s="166"/>
      <c r="AA14" s="166"/>
      <c r="AB14" s="166"/>
    </row>
    <row r="15" s="63" customFormat="1" ht="15" customHeight="1">
      <c r="A15" s="51"/>
      <c r="B15" s="53"/>
      <c r="C15" s="170"/>
      <c r="D15" s="171"/>
      <c r="E15" s="172"/>
      <c r="F15" s="173"/>
      <c r="G15" s="174" t="s">
        <v>104</v>
      </c>
      <c r="H15" s="175"/>
      <c r="I15" s="176"/>
      <c r="J15" s="57"/>
      <c r="K15" s="57"/>
      <c r="L15" s="57"/>
      <c r="M15" s="57"/>
      <c r="N15" s="128"/>
      <c r="O15" s="57"/>
      <c r="P15" s="53"/>
      <c r="Q15" s="53"/>
      <c r="R15" s="165"/>
      <c r="S15" s="53"/>
      <c r="T15" s="53"/>
      <c r="U15" s="53"/>
      <c r="V15" s="64"/>
      <c r="W15" s="64"/>
      <c r="X15" s="166"/>
      <c r="Y15" s="166"/>
      <c r="Z15" s="166"/>
      <c r="AA15" s="166"/>
      <c r="AB15" s="166"/>
    </row>
    <row r="16" s="138" customFormat="1" ht="14.25" customHeight="1">
      <c r="A16" s="50"/>
      <c r="B16" s="53"/>
      <c r="C16" s="50"/>
      <c r="D16" s="127"/>
      <c r="E16" s="177"/>
      <c r="F16" s="178"/>
      <c r="G16" s="179" t="s">
        <v>105</v>
      </c>
      <c r="H16" s="178"/>
      <c r="I16" s="180"/>
      <c r="J16" s="155"/>
      <c r="K16" s="128"/>
      <c r="L16" s="128"/>
      <c r="M16" s="128"/>
      <c r="N16" s="128" t="s">
        <v>106</v>
      </c>
      <c r="O16" s="128"/>
      <c r="P16" s="129"/>
      <c r="Q16" s="129"/>
      <c r="R16" s="129"/>
      <c r="S16" s="129"/>
    </row>
    <row r="17" s="138" customFormat="1" ht="21" customHeight="1">
      <c r="A17" s="50"/>
      <c r="B17" s="53"/>
      <c r="C17" s="50"/>
      <c r="D17" s="127"/>
      <c r="E17" s="181"/>
      <c r="F17" s="181"/>
      <c r="G17" s="181"/>
      <c r="H17" s="181"/>
      <c r="I17" s="181"/>
      <c r="J17" s="128"/>
      <c r="K17" s="128"/>
      <c r="L17" s="128"/>
      <c r="M17" s="128"/>
      <c r="N17" s="128"/>
      <c r="O17" s="128"/>
      <c r="P17" s="129"/>
      <c r="Q17" s="129"/>
      <c r="R17" s="129"/>
      <c r="S17" s="129"/>
    </row>
    <row r="18" s="138" customFormat="1" ht="14.25" customHeight="1">
      <c r="A18" s="50"/>
      <c r="B18" s="53"/>
      <c r="C18" s="50"/>
      <c r="D18" s="127"/>
      <c r="E18" s="50"/>
      <c r="F18" s="50"/>
      <c r="G18" s="50"/>
      <c r="H18" s="50"/>
      <c r="I18" s="50"/>
      <c r="J18" s="128"/>
      <c r="K18" s="128"/>
      <c r="L18" s="128"/>
      <c r="M18" s="128"/>
      <c r="N18" s="128"/>
      <c r="O18" s="128"/>
      <c r="P18" s="129"/>
      <c r="Q18" s="129"/>
      <c r="R18" s="129"/>
      <c r="S18" s="129"/>
    </row>
    <row r="19" s="138" customFormat="1" ht="0.75" customHeight="1">
      <c r="A19" s="50"/>
      <c r="B19" s="53"/>
      <c r="C19" s="50"/>
      <c r="D19" s="127"/>
      <c r="E19" s="50"/>
      <c r="F19" s="50"/>
      <c r="G19" s="50"/>
      <c r="H19" s="50"/>
      <c r="I19" s="50"/>
      <c r="J19" s="128"/>
      <c r="K19" s="128"/>
      <c r="L19" s="128"/>
      <c r="M19" s="128"/>
      <c r="N19" s="128"/>
      <c r="O19" s="128"/>
      <c r="P19" s="129"/>
      <c r="Q19" s="129"/>
      <c r="R19" s="129"/>
      <c r="S19" s="129"/>
    </row>
    <row r="20" s="182" customFormat="1" ht="10.5" customHeight="1">
      <c r="B20" s="183"/>
      <c r="D20" s="184"/>
      <c r="J20" s="128"/>
      <c r="K20" s="128"/>
      <c r="L20" s="128"/>
      <c r="M20" s="128"/>
      <c r="N20" s="128"/>
      <c r="O20" s="128"/>
      <c r="P20" s="129"/>
      <c r="Q20" s="129"/>
      <c r="R20" s="129"/>
      <c r="S20" s="129"/>
    </row>
    <row r="21" s="182" customFormat="1" ht="10.5" customHeight="1">
      <c r="B21" s="183"/>
      <c r="D21" s="184"/>
      <c r="J21" s="128"/>
      <c r="K21" s="128"/>
      <c r="L21" s="128"/>
      <c r="M21" s="128"/>
      <c r="N21" s="128"/>
      <c r="O21" s="128"/>
      <c r="P21" s="129"/>
      <c r="Q21" s="129"/>
      <c r="R21" s="129"/>
      <c r="S21" s="129"/>
    </row>
    <row r="25" ht="14.25" customHeight="1"/>
    <row r="29" ht="14.25" customHeight="1">
      <c r="J29" s="50"/>
      <c r="K29" s="50"/>
      <c r="L29" s="50"/>
    </row>
  </sheetData>
  <sheetProtection autoFilter="0" deleteColumns="0" deleteRows="0" formatCells="1" formatColumns="0" formatRows="0" insertColumns="1" insertHyperlinks="1" insertRows="0" pivotTables="1" selectLockedCells="0" selectUnlockedCells="0" sheet="0" sort="0"/>
  <mergeCells count="4">
    <mergeCell ref="E4:I4"/>
    <mergeCell ref="E8:G8"/>
    <mergeCell ref="H8:I8"/>
    <mergeCell ref="A12:A15"/>
  </mergeCells>
  <printOptions headings="0" gridLines="0"/>
  <pageMargins left="0" right="0" top="0" bottom="0" header="0" footer="0.79000000000000004"/>
  <pageSetup paperSize="9" scale="60" firstPageNumber="4294967295"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B900C5-009D-4EDB-BB39-009900500062}" type="textLength" allowBlank="1" error="Допускается ввод не более 900 символов!" errorStyle="stop" errorTitle="Ошибка" imeMode="noControl" operator="lessThanOrEqual" showDropDown="0" showErrorMessage="1" showInputMessage="1">
          <x14:formula1>
            <xm:f>900</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3" zoomScale="90" workbookViewId="0">
      <selection activeCell="I13" activeCellId="0" sqref="I13:I14"/>
    </sheetView>
  </sheetViews>
  <sheetFormatPr defaultColWidth="9.140625" defaultRowHeight="11.25" customHeight="1"/>
  <cols>
    <col customWidth="1" hidden="1" min="1" max="1" style="185" width="6.421875"/>
    <col customWidth="1" hidden="1" min="2" max="2" style="185" width="2.00390625"/>
    <col customWidth="1" min="3" max="3" style="185" width="3.7109375"/>
    <col customWidth="1" min="4" max="4" style="185" width="4.28125"/>
    <col customWidth="1" min="5" max="5" style="185" width="45.00390625"/>
    <col customWidth="1" min="6" max="6" style="185" width="6.421875"/>
    <col customWidth="1" min="7" max="7" style="185" width="4.421875"/>
    <col customWidth="1" min="8" max="8" style="185" width="5.57421875"/>
    <col customWidth="1" min="9" max="9" style="185" width="52.8515625"/>
    <col customWidth="1" min="10" max="10" style="185" width="7.00390625"/>
    <col customWidth="1" min="11" max="11" style="185" width="3.7109375"/>
    <col customWidth="1" min="12" max="12" style="185" width="6.28125"/>
    <col customWidth="1" min="13" max="13" style="185" width="56.28125"/>
    <col min="14" max="14" style="150" width="9.140625"/>
    <col hidden="1" min="15" max="20" style="128" width="9.140625"/>
    <col hidden="1" min="21" max="24" style="106" width="9.140625"/>
    <col hidden="1" min="25" max="37" style="150" width="9.140625"/>
    <col min="38" max="38" style="150" width="9.140625"/>
  </cols>
  <sheetData>
    <row r="1" ht="11.25" hidden="1" customHeight="1"/>
    <row r="2" ht="11.25" hidden="1" customHeight="1"/>
    <row r="4" ht="34.5" customHeight="1">
      <c r="A4" s="106"/>
      <c r="B4" s="106"/>
      <c r="D4" s="186" t="str">
        <f>Титульный!E5</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87"/>
      <c r="F4" s="187"/>
      <c r="G4" s="187"/>
      <c r="H4" s="187"/>
      <c r="I4" s="188"/>
      <c r="J4" s="150"/>
      <c r="K4" s="150"/>
      <c r="L4" s="150"/>
      <c r="M4" s="150"/>
    </row>
    <row r="5" s="189" customFormat="1" ht="15" customHeight="1">
      <c r="A5" s="106"/>
      <c r="B5" s="106"/>
      <c r="C5" s="106"/>
      <c r="D5" s="190" t="str">
        <f>IF(org=0,"Не определено",org)</f>
        <v xml:space="preserve">филиал ПАО "ОГК-2" - Адлерская ТЭС</v>
      </c>
      <c r="E5" s="191"/>
      <c r="F5" s="191"/>
      <c r="G5" s="191"/>
      <c r="H5" s="191"/>
      <c r="I5" s="192"/>
      <c r="J5" s="193"/>
      <c r="K5" s="193"/>
      <c r="L5" s="193"/>
      <c r="M5" s="193"/>
      <c r="N5" s="193"/>
      <c r="O5" s="194"/>
      <c r="P5" s="194"/>
      <c r="Q5" s="194"/>
      <c r="R5" s="194"/>
      <c r="S5" s="194"/>
      <c r="T5" s="194"/>
      <c r="U5" s="195"/>
      <c r="V5" s="195"/>
      <c r="W5" s="195"/>
      <c r="X5" s="195"/>
      <c r="Y5" s="193"/>
      <c r="Z5" s="193"/>
      <c r="AA5" s="193"/>
      <c r="AB5" s="193"/>
      <c r="AC5" s="193"/>
      <c r="AD5" s="193"/>
      <c r="AE5" s="193"/>
      <c r="AF5" s="193"/>
      <c r="AG5" s="193"/>
      <c r="AH5" s="193"/>
      <c r="AI5" s="193"/>
      <c r="AJ5" s="193"/>
      <c r="AK5" s="193"/>
      <c r="AL5" s="193"/>
    </row>
    <row r="6" s="189" customFormat="1" ht="6" customHeight="1">
      <c r="A6" s="51"/>
      <c r="B6" s="51"/>
      <c r="C6" s="51"/>
      <c r="D6" s="51"/>
      <c r="E6" s="51"/>
      <c r="F6" s="51"/>
      <c r="G6" s="50"/>
      <c r="H6" s="50"/>
      <c r="I6" s="50"/>
      <c r="J6" s="50"/>
      <c r="K6" s="50"/>
      <c r="N6" s="193"/>
      <c r="O6" s="194"/>
      <c r="P6" s="194"/>
      <c r="Q6" s="194"/>
      <c r="R6" s="194"/>
      <c r="S6" s="194"/>
      <c r="T6" s="194"/>
      <c r="U6" s="195"/>
      <c r="V6" s="195"/>
      <c r="W6" s="195"/>
      <c r="X6" s="195"/>
      <c r="Y6" s="193"/>
      <c r="Z6" s="193"/>
      <c r="AA6" s="193"/>
      <c r="AB6" s="193"/>
      <c r="AC6" s="193"/>
      <c r="AD6" s="193"/>
      <c r="AE6" s="193"/>
      <c r="AF6" s="193"/>
      <c r="AG6" s="193"/>
      <c r="AH6" s="193"/>
      <c r="AI6" s="193"/>
      <c r="AJ6" s="193"/>
      <c r="AK6" s="193"/>
      <c r="AL6" s="193"/>
    </row>
    <row r="7" ht="45.75" hidden="1" customHeight="1">
      <c r="E7" s="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 xml:space="preserve">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
      <c r="G7" s="197"/>
      <c r="H7" s="197"/>
      <c r="I7" s="197"/>
      <c r="J7" s="197"/>
      <c r="K7" s="197"/>
      <c r="L7" s="197"/>
      <c r="M7" s="197"/>
    </row>
    <row r="8" s="189" customFormat="1" ht="6" customHeight="1">
      <c r="A8" s="198"/>
      <c r="B8" s="198"/>
      <c r="C8" s="198"/>
      <c r="D8" s="198"/>
      <c r="E8" s="198"/>
      <c r="F8" s="198"/>
      <c r="G8" s="198"/>
      <c r="H8" s="198"/>
      <c r="I8" s="198"/>
      <c r="J8" s="198"/>
      <c r="K8" s="198"/>
      <c r="L8" s="198"/>
      <c r="M8" s="189"/>
      <c r="N8" s="193"/>
      <c r="O8" s="194"/>
      <c r="P8" s="194"/>
      <c r="Q8" s="194"/>
      <c r="R8" s="194"/>
      <c r="S8" s="194"/>
      <c r="T8" s="194"/>
      <c r="U8" s="195"/>
      <c r="V8" s="195"/>
      <c r="W8" s="195"/>
      <c r="X8" s="195"/>
      <c r="Y8" s="193"/>
      <c r="Z8" s="193"/>
      <c r="AA8" s="193"/>
      <c r="AB8" s="193"/>
      <c r="AC8" s="193"/>
      <c r="AD8" s="193"/>
      <c r="AE8" s="193"/>
      <c r="AF8" s="193"/>
      <c r="AG8" s="193"/>
      <c r="AH8" s="193"/>
      <c r="AI8" s="193"/>
      <c r="AJ8" s="193"/>
      <c r="AK8" s="193"/>
      <c r="AL8" s="193"/>
    </row>
    <row r="9" ht="18" customHeight="1">
      <c r="A9" s="199"/>
      <c r="B9" s="50"/>
      <c r="C9" s="50"/>
      <c r="D9" s="156" t="s">
        <v>107</v>
      </c>
      <c r="E9" s="156"/>
      <c r="F9" s="200" t="s">
        <v>108</v>
      </c>
      <c r="G9" s="201"/>
      <c r="H9" s="201"/>
      <c r="I9" s="201"/>
      <c r="J9" s="202" t="s">
        <v>109</v>
      </c>
      <c r="K9" s="202"/>
      <c r="L9" s="202"/>
      <c r="M9" s="202"/>
    </row>
    <row r="10" ht="22.5" customHeight="1">
      <c r="A10" s="199"/>
      <c r="B10" s="51"/>
      <c r="C10" s="203"/>
      <c r="D10" s="156" t="s">
        <v>85</v>
      </c>
      <c r="E10" s="156" t="s">
        <v>86</v>
      </c>
      <c r="F10" s="156" t="s">
        <v>110</v>
      </c>
      <c r="G10" s="204" t="s">
        <v>85</v>
      </c>
      <c r="H10" s="205"/>
      <c r="I10" s="156" t="s">
        <v>86</v>
      </c>
      <c r="J10" s="156" t="s">
        <v>110</v>
      </c>
      <c r="K10" s="204" t="s">
        <v>85</v>
      </c>
      <c r="L10" s="205"/>
      <c r="M10" s="156" t="s">
        <v>86</v>
      </c>
      <c r="N10" s="206"/>
    </row>
    <row r="11" s="185" customFormat="1" ht="11.25" hidden="1" customHeight="1">
      <c r="A11" s="207"/>
      <c r="B11" s="207"/>
      <c r="C11" s="207"/>
      <c r="D11" s="208" t="s">
        <v>111</v>
      </c>
      <c r="E11" s="208" t="s">
        <v>99</v>
      </c>
      <c r="F11" s="208" t="s">
        <v>87</v>
      </c>
      <c r="G11" s="209" t="s">
        <v>88</v>
      </c>
      <c r="H11" s="210"/>
      <c r="I11" s="208" t="s">
        <v>112</v>
      </c>
      <c r="J11" s="208" t="s">
        <v>89</v>
      </c>
      <c r="K11" s="211" t="s">
        <v>90</v>
      </c>
      <c r="L11" s="212"/>
      <c r="M11" s="208" t="s">
        <v>113</v>
      </c>
      <c r="N11" s="206"/>
      <c r="O11" s="128"/>
      <c r="P11" s="128"/>
      <c r="Q11" s="128"/>
      <c r="R11" s="128"/>
      <c r="S11" s="128"/>
      <c r="T11" s="128"/>
      <c r="U11" s="106"/>
      <c r="V11" s="106"/>
      <c r="W11" s="106"/>
      <c r="X11" s="106"/>
      <c r="Y11" s="150"/>
      <c r="Z11" s="150"/>
      <c r="AA11" s="150"/>
      <c r="AB11" s="150"/>
      <c r="AC11" s="150"/>
      <c r="AD11" s="150"/>
      <c r="AE11" s="150"/>
      <c r="AF11" s="150"/>
      <c r="AG11" s="150"/>
      <c r="AH11" s="150"/>
      <c r="AI11" s="150"/>
      <c r="AJ11" s="150"/>
      <c r="AK11" s="150"/>
      <c r="AL11" s="150"/>
    </row>
    <row r="12" ht="0.75" customHeight="1">
      <c r="A12" s="213"/>
      <c r="B12" s="51"/>
      <c r="C12" s="51"/>
      <c r="D12" s="214"/>
      <c r="E12" s="215"/>
      <c r="F12" s="215"/>
      <c r="G12" s="216"/>
      <c r="H12" s="216"/>
      <c r="I12" s="215"/>
      <c r="J12" s="215"/>
      <c r="K12" s="217"/>
      <c r="L12" s="215"/>
      <c r="M12" s="218"/>
      <c r="N12" s="206"/>
      <c r="O12" s="128" t="s">
        <v>114</v>
      </c>
      <c r="P12" s="128" t="s">
        <v>115</v>
      </c>
      <c r="Q12" s="128" t="s">
        <v>116</v>
      </c>
      <c r="R12" s="128" t="s">
        <v>117</v>
      </c>
    </row>
    <row r="13" s="185" customFormat="1" ht="15" customHeight="1">
      <c r="C13" s="127"/>
      <c r="D13" s="219" t="s">
        <v>111</v>
      </c>
      <c r="E13" s="220" t="str">
        <f>INDEX(VD_NAME_LIST,MATCH("4190070",VD_ID_LIST,0))</f>
        <v xml:space="preserve">Сбыт. Тепловая энергия</v>
      </c>
      <c r="F13" s="221" t="s">
        <v>56</v>
      </c>
      <c r="G13" s="222"/>
      <c r="H13" s="223">
        <v>1</v>
      </c>
      <c r="I13" s="224" t="str">
        <f>IF(U13="","",INDEX(TERRITORY_MR_LIST,MATCH(U13,TERRITORY_LIST_ID,0)))</f>
        <v xml:space="preserve">Территория 1</v>
      </c>
      <c r="J13" s="225" t="s">
        <v>54</v>
      </c>
      <c r="K13" s="226"/>
      <c r="L13" s="219" t="s">
        <v>111</v>
      </c>
      <c r="M13" s="227" t="s">
        <v>18</v>
      </c>
      <c r="N13" s="206"/>
      <c r="O13" s="128" t="s">
        <v>118</v>
      </c>
      <c r="P13" s="128" t="str">
        <f>$E$13</f>
        <v xml:space="preserve">Сбыт. Тепловая энергия</v>
      </c>
      <c r="Q13" s="128" t="str">
        <f>IF($F$13="нет","без дифференциации",$I$13)</f>
        <v xml:space="preserve">Территория 1</v>
      </c>
      <c r="R13" s="128" t="str">
        <f>IF($J$13="нет","без дифференциации",M13)</f>
        <v xml:space="preserve">без дифференциации</v>
      </c>
      <c r="S13" s="128"/>
      <c r="T13" s="128"/>
      <c r="U13" s="106" t="s">
        <v>95</v>
      </c>
      <c r="V13" s="106" t="s">
        <v>119</v>
      </c>
      <c r="W13" s="106"/>
      <c r="X13" s="106"/>
      <c r="Y13" s="150" t="s">
        <v>120</v>
      </c>
      <c r="Z13" s="150">
        <v>1705000</v>
      </c>
      <c r="AA13" s="150"/>
      <c r="AB13" s="150"/>
      <c r="AC13" s="150"/>
      <c r="AD13" s="150"/>
      <c r="AE13" s="150"/>
      <c r="AF13" s="150"/>
      <c r="AG13" s="150"/>
      <c r="AH13" s="150"/>
      <c r="AI13" s="150"/>
      <c r="AJ13" s="150"/>
      <c r="AK13" s="150"/>
      <c r="AL13" s="150"/>
    </row>
    <row r="14" s="185" customFormat="1" ht="15" customHeight="1">
      <c r="C14" s="148"/>
      <c r="D14" s="219"/>
      <c r="E14" s="228"/>
      <c r="F14" s="225"/>
      <c r="G14" s="222"/>
      <c r="H14" s="223"/>
      <c r="I14" s="229"/>
      <c r="J14" s="225"/>
      <c r="K14" s="172"/>
      <c r="L14" s="173"/>
      <c r="M14" s="230" t="s">
        <v>121</v>
      </c>
      <c r="N14" s="206"/>
      <c r="O14" s="128"/>
      <c r="P14" s="128"/>
      <c r="Q14" s="128"/>
      <c r="R14" s="128"/>
      <c r="S14" s="128"/>
      <c r="T14" s="128"/>
      <c r="U14" s="106"/>
      <c r="V14" s="106"/>
      <c r="W14" s="106"/>
      <c r="X14" s="106"/>
      <c r="Y14" s="150"/>
      <c r="Z14" s="150"/>
      <c r="AA14" s="150"/>
      <c r="AB14" s="150"/>
      <c r="AC14" s="150"/>
      <c r="AD14" s="150"/>
      <c r="AE14" s="150"/>
      <c r="AF14" s="150"/>
      <c r="AG14" s="150"/>
      <c r="AH14" s="150"/>
      <c r="AI14" s="150"/>
      <c r="AJ14" s="150"/>
      <c r="AK14" s="150"/>
      <c r="AL14" s="150"/>
    </row>
    <row r="15" s="185" customFormat="1" ht="15" customHeight="1">
      <c r="C15" s="148"/>
      <c r="D15" s="219"/>
      <c r="E15" s="231"/>
      <c r="F15" s="225"/>
      <c r="G15" s="232"/>
      <c r="H15" s="233"/>
      <c r="I15" s="174" t="s">
        <v>122</v>
      </c>
      <c r="J15" s="173"/>
      <c r="K15" s="173"/>
      <c r="L15" s="173"/>
      <c r="M15" s="234"/>
      <c r="N15" s="206"/>
      <c r="O15" s="128"/>
      <c r="P15" s="128"/>
      <c r="Q15" s="128"/>
      <c r="R15" s="128"/>
      <c r="S15" s="128"/>
      <c r="T15" s="128"/>
      <c r="U15" s="106"/>
      <c r="V15" s="106"/>
      <c r="W15" s="106"/>
      <c r="X15" s="106"/>
      <c r="Y15" s="150"/>
      <c r="Z15" s="150"/>
      <c r="AA15" s="150"/>
      <c r="AB15" s="150"/>
      <c r="AC15" s="150"/>
      <c r="AD15" s="150"/>
      <c r="AE15" s="150"/>
      <c r="AF15" s="150"/>
      <c r="AG15" s="150"/>
      <c r="AH15" s="150"/>
      <c r="AI15" s="150"/>
      <c r="AJ15" s="150"/>
      <c r="AK15" s="150"/>
      <c r="AL15" s="150"/>
    </row>
    <row r="16" ht="15" customHeight="1">
      <c r="A16" s="235"/>
      <c r="B16" s="60"/>
      <c r="C16" s="124"/>
      <c r="D16" s="172"/>
      <c r="E16" s="236" t="s">
        <v>123</v>
      </c>
      <c r="F16" s="173"/>
      <c r="G16" s="173"/>
      <c r="H16" s="173"/>
      <c r="I16" s="173"/>
      <c r="J16" s="173"/>
      <c r="K16" s="173" t="s">
        <v>18</v>
      </c>
      <c r="L16" s="173"/>
      <c r="M16" s="234"/>
      <c r="N16" s="206"/>
    </row>
  </sheetData>
  <sheetProtection autoFilter="0" deleteColumns="0" deleteRows="0" formatCells="1" formatColumns="0" formatRows="0" insertColumns="1" insertHyperlinks="1" insertRows="0" pivotTables="1" selectLockedCells="0" selectUnlockedCells="0" sheet="0" sort="0"/>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8F0041-0024-4582-8CE6-00AF00580085}" type="textLength" allowBlank="1" error="Допускается ввод не более 900 символов!" errorStyle="stop" imeMode="noControl" operator="lessThan" showDropDown="0" showErrorMessage="1" showInputMessage="1">
          <x14:formula1>
            <xm:f>900</xm:f>
          </x14:formula1>
          <xm:sqref>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9.140625" defaultRowHeight="11.25" customHeight="1"/>
  <cols>
    <col customWidth="1" hidden="1" min="1" max="2" style="128" width="3.7109375"/>
    <col customWidth="1" min="3" max="3" style="185" width="3.7109375"/>
    <col customWidth="1" min="4" max="4" style="185" width="6.140625"/>
    <col customWidth="1" min="5" max="5" style="185" width="43.140625"/>
    <col customWidth="1" min="6" max="6" style="185" width="15.00390625"/>
    <col customWidth="1" min="7" max="7" style="185" width="43.140625"/>
    <col customWidth="1" min="8" max="8" style="185" width="3.7109375"/>
    <col customWidth="1" min="9" max="9" style="185" width="5.421875"/>
    <col customWidth="1" min="10" max="10" style="185" width="47.8515625"/>
    <col customWidth="1" min="11" max="12" style="185" width="3.7109375"/>
    <col customWidth="1" min="13" max="13" style="185" width="5.7109375"/>
    <col customWidth="1" min="14" max="14" style="185" width="28.140625"/>
    <col customWidth="1" min="15" max="16" style="185" width="3.7109375"/>
    <col customWidth="1" min="17" max="17" style="185" width="5.7109375"/>
    <col customWidth="1" min="18" max="18" style="185" width="34.421875"/>
    <col customWidth="1" min="19" max="20" style="185" width="3.7109375"/>
    <col customWidth="1" min="21" max="21" style="185" width="5.7109375"/>
    <col customWidth="1" min="22" max="22" style="185" width="34.421875"/>
    <col customWidth="1" min="23" max="23" style="185" width="30.7109375"/>
    <col customWidth="1" min="24" max="24" style="185" width="3.7109375"/>
    <col customWidth="1" hidden="1" min="25" max="28" style="106" width="9.8515625"/>
    <col customWidth="1" hidden="1" min="29" max="29" style="106" width="27.00390625"/>
    <col customWidth="1" hidden="1" min="30" max="30" style="106" width="10.57421875"/>
    <col customWidth="1" hidden="1" min="31" max="31" style="106" width="10.7109375"/>
    <col customWidth="1" hidden="1" min="32" max="32" style="106" width="10.00390625"/>
    <col customWidth="1" hidden="1" min="33" max="33" style="106" width="12.8515625"/>
    <col customWidth="1" hidden="1" min="34" max="34" style="106" width="10.28125"/>
    <col customWidth="1" hidden="1" min="35" max="35" style="106" width="15.8515625"/>
    <col customWidth="1" hidden="1" min="36" max="36" style="106" width="19.421875"/>
    <col customWidth="1" hidden="1" min="37" max="37" style="106" width="11.00390625"/>
    <col customWidth="1" hidden="1" min="38" max="38" style="106" width="23.57421875"/>
    <col customWidth="1" hidden="1" min="39" max="39" style="106" width="23.8515625"/>
    <col customWidth="1" hidden="1" min="40" max="40" style="106" width="25.28125"/>
    <col customWidth="1" hidden="1" min="41" max="41" style="106" width="16.8515625"/>
    <col customWidth="1" hidden="1" min="42" max="42" style="106" width="29.57421875"/>
    <col customWidth="1" hidden="1" min="43" max="43" style="106" width="29.8515625"/>
    <col hidden="1" min="44" max="44" style="185" width="9.140625"/>
  </cols>
  <sheetData>
    <row r="1" ht="11.25" hidden="1" customHeight="1">
      <c r="A1" s="128"/>
    </row>
    <row r="2" ht="11.25" hidden="1" customHeight="1"/>
    <row r="3" ht="11.25" hidden="1" customHeight="1"/>
    <row r="4" ht="3" customHeight="1"/>
    <row r="5" s="189" customFormat="1" ht="29.25" customHeight="1">
      <c r="A5" s="194"/>
      <c r="B5" s="194"/>
      <c r="D5" s="2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 xml:space="preserve">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
      <c r="F5" s="238"/>
      <c r="G5" s="238"/>
      <c r="H5" s="238"/>
      <c r="I5" s="238"/>
      <c r="J5" s="239"/>
      <c r="K5" s="240"/>
      <c r="L5" s="241"/>
      <c r="M5" s="241"/>
      <c r="N5" s="241"/>
      <c r="O5" s="241"/>
      <c r="P5" s="241"/>
      <c r="Q5" s="241"/>
      <c r="R5" s="241"/>
      <c r="S5" s="241"/>
      <c r="T5" s="241"/>
      <c r="U5" s="241"/>
      <c r="V5" s="241"/>
      <c r="W5" s="241"/>
      <c r="Y5" s="195"/>
      <c r="Z5" s="195"/>
      <c r="AA5" s="195"/>
      <c r="AB5" s="195"/>
      <c r="AC5" s="195"/>
      <c r="AD5" s="195"/>
      <c r="AE5" s="195"/>
      <c r="AF5" s="195"/>
      <c r="AG5" s="195"/>
      <c r="AH5" s="195"/>
      <c r="AI5" s="195"/>
      <c r="AJ5" s="195"/>
      <c r="AK5" s="195"/>
      <c r="AL5" s="195"/>
      <c r="AM5" s="195"/>
      <c r="AN5" s="195"/>
      <c r="AO5" s="195"/>
      <c r="AP5" s="195"/>
      <c r="AQ5" s="195"/>
    </row>
    <row r="6" s="189" customFormat="1" ht="15" customHeight="1">
      <c r="A6" s="106"/>
      <c r="B6" s="106"/>
      <c r="C6" s="106"/>
      <c r="D6" s="242" t="str">
        <f>IF(org=0,"Не определено",org)</f>
        <v xml:space="preserve">филиал ПАО "ОГК-2" - Адлерская ТЭС</v>
      </c>
      <c r="E6" s="242"/>
      <c r="F6" s="242"/>
      <c r="G6" s="242"/>
      <c r="H6" s="242"/>
      <c r="I6" s="242"/>
      <c r="J6" s="242"/>
      <c r="K6" s="193"/>
      <c r="L6" s="193"/>
      <c r="M6" s="193"/>
      <c r="N6" s="193"/>
      <c r="O6" s="194"/>
      <c r="P6" s="194"/>
      <c r="Q6" s="194"/>
      <c r="R6" s="194"/>
      <c r="S6" s="194"/>
      <c r="T6" s="194"/>
      <c r="U6" s="194"/>
      <c r="V6" s="194"/>
      <c r="W6" s="194"/>
      <c r="X6" s="193"/>
      <c r="Y6" s="195"/>
      <c r="Z6" s="195"/>
      <c r="AA6" s="195"/>
      <c r="AB6" s="195"/>
      <c r="AC6" s="195"/>
      <c r="AD6" s="195"/>
      <c r="AE6" s="195"/>
      <c r="AF6" s="195"/>
      <c r="AG6" s="195"/>
      <c r="AH6" s="195"/>
      <c r="AI6" s="195"/>
      <c r="AJ6" s="195"/>
      <c r="AK6" s="195"/>
      <c r="AL6" s="195"/>
      <c r="AM6" s="195"/>
      <c r="AN6" s="195"/>
      <c r="AO6" s="195"/>
      <c r="AP6" s="195"/>
      <c r="AQ6" s="195"/>
    </row>
    <row r="7" s="243" customFormat="1" ht="11.25" customHeight="1">
      <c r="A7" s="128"/>
      <c r="B7" s="128"/>
      <c r="D7" s="244"/>
      <c r="E7" s="245"/>
      <c r="F7" s="245"/>
      <c r="G7" s="245"/>
      <c r="H7" s="245"/>
      <c r="I7" s="245"/>
      <c r="J7" s="246"/>
      <c r="S7" s="243"/>
      <c r="T7" s="243"/>
      <c r="U7" s="243"/>
      <c r="V7" s="243"/>
      <c r="Y7" s="106"/>
      <c r="Z7" s="106"/>
      <c r="AA7" s="106"/>
      <c r="AB7" s="106"/>
      <c r="AC7" s="106"/>
      <c r="AD7" s="106"/>
      <c r="AE7" s="106"/>
      <c r="AF7" s="106"/>
      <c r="AG7" s="106"/>
      <c r="AH7" s="106"/>
      <c r="AI7" s="106"/>
      <c r="AJ7" s="106"/>
      <c r="AK7" s="106"/>
      <c r="AL7" s="106"/>
      <c r="AM7" s="106"/>
      <c r="AN7" s="106"/>
      <c r="AO7" s="106"/>
      <c r="AP7" s="106"/>
      <c r="AQ7" s="106"/>
    </row>
    <row r="8" s="189" customFormat="1" ht="0.75" customHeight="1">
      <c r="A8" s="194"/>
      <c r="B8" s="194"/>
      <c r="D8" s="198"/>
      <c r="E8" s="198"/>
      <c r="F8" s="198"/>
      <c r="G8" s="198"/>
      <c r="H8" s="198"/>
      <c r="I8" s="198"/>
      <c r="J8" s="198"/>
      <c r="K8" s="198"/>
      <c r="L8" s="198"/>
      <c r="M8" s="198"/>
      <c r="N8" s="198"/>
      <c r="O8" s="198"/>
      <c r="P8" s="198"/>
      <c r="Q8" s="198"/>
      <c r="R8" s="198"/>
      <c r="S8" s="198"/>
      <c r="T8" s="198"/>
      <c r="U8" s="198"/>
      <c r="V8" s="198"/>
      <c r="W8" s="198"/>
      <c r="X8" s="189"/>
      <c r="Y8" s="195"/>
      <c r="Z8" s="195"/>
      <c r="AA8" s="195"/>
      <c r="AB8" s="195"/>
      <c r="AC8" s="195"/>
      <c r="AD8" s="195"/>
      <c r="AE8" s="195"/>
      <c r="AF8" s="195"/>
      <c r="AG8" s="195"/>
      <c r="AH8" s="195"/>
      <c r="AI8" s="195"/>
      <c r="AJ8" s="195"/>
      <c r="AK8" s="195"/>
      <c r="AL8" s="195"/>
      <c r="AM8" s="195"/>
      <c r="AN8" s="195"/>
      <c r="AO8" s="195"/>
      <c r="AP8" s="195"/>
      <c r="AQ8" s="195"/>
    </row>
    <row r="9" ht="27" customHeight="1">
      <c r="D9" s="156" t="s">
        <v>85</v>
      </c>
      <c r="E9" s="73" t="s">
        <v>124</v>
      </c>
      <c r="F9" s="72"/>
      <c r="G9" s="156" t="s">
        <v>107</v>
      </c>
      <c r="H9" s="156" t="s">
        <v>85</v>
      </c>
      <c r="I9" s="156"/>
      <c r="J9" s="156" t="s">
        <v>125</v>
      </c>
      <c r="K9" s="247" t="s">
        <v>126</v>
      </c>
      <c r="L9" s="247"/>
      <c r="M9" s="247"/>
      <c r="N9" s="247"/>
      <c r="O9" s="247" t="s">
        <v>127</v>
      </c>
      <c r="P9" s="247"/>
      <c r="Q9" s="247"/>
      <c r="R9" s="247"/>
      <c r="S9" s="247" t="s">
        <v>128</v>
      </c>
      <c r="T9" s="247"/>
      <c r="U9" s="247"/>
      <c r="V9" s="247"/>
      <c r="W9" s="156" t="s">
        <v>129</v>
      </c>
    </row>
    <row r="10" ht="30" customHeight="1">
      <c r="D10" s="156"/>
      <c r="E10" s="156" t="s">
        <v>86</v>
      </c>
      <c r="F10" s="156" t="s">
        <v>130</v>
      </c>
      <c r="G10" s="156"/>
      <c r="H10" s="156"/>
      <c r="I10" s="156"/>
      <c r="J10" s="156"/>
      <c r="K10" s="156" t="s">
        <v>110</v>
      </c>
      <c r="L10" s="156" t="s">
        <v>85</v>
      </c>
      <c r="M10" s="156"/>
      <c r="N10" s="156" t="s">
        <v>131</v>
      </c>
      <c r="O10" s="156" t="s">
        <v>110</v>
      </c>
      <c r="P10" s="156" t="s">
        <v>85</v>
      </c>
      <c r="Q10" s="156"/>
      <c r="R10" s="156" t="s">
        <v>131</v>
      </c>
      <c r="S10" s="156" t="s">
        <v>110</v>
      </c>
      <c r="T10" s="156" t="s">
        <v>85</v>
      </c>
      <c r="U10" s="156"/>
      <c r="V10" s="156" t="s">
        <v>86</v>
      </c>
      <c r="W10" s="156"/>
      <c r="Z10" s="106" t="s">
        <v>132</v>
      </c>
      <c r="AA10" s="106" t="s">
        <v>133</v>
      </c>
      <c r="AB10" s="106" t="s">
        <v>134</v>
      </c>
      <c r="AC10" s="106" t="s">
        <v>135</v>
      </c>
      <c r="AD10" s="106" t="s">
        <v>136</v>
      </c>
      <c r="AE10" s="106" t="s">
        <v>137</v>
      </c>
      <c r="AF10" s="106" t="s">
        <v>138</v>
      </c>
      <c r="AG10" s="106" t="s">
        <v>139</v>
      </c>
      <c r="AH10" s="106" t="s">
        <v>140</v>
      </c>
      <c r="AI10" s="106" t="s">
        <v>141</v>
      </c>
      <c r="AJ10" s="106" t="s">
        <v>142</v>
      </c>
      <c r="AK10" s="106" t="s">
        <v>143</v>
      </c>
      <c r="AL10" s="106" t="s">
        <v>144</v>
      </c>
      <c r="AM10" s="106" t="s">
        <v>145</v>
      </c>
      <c r="AN10" s="106" t="s">
        <v>146</v>
      </c>
      <c r="AO10" s="106" t="s">
        <v>147</v>
      </c>
      <c r="AP10" s="106" t="s">
        <v>148</v>
      </c>
      <c r="AQ10" s="106" t="s">
        <v>149</v>
      </c>
    </row>
    <row r="11" s="128" customFormat="1" ht="12" hidden="1" customHeight="1">
      <c r="D11" s="248" t="s">
        <v>111</v>
      </c>
      <c r="E11" s="248" t="s">
        <v>99</v>
      </c>
      <c r="F11" s="248"/>
      <c r="G11" s="248" t="s">
        <v>87</v>
      </c>
      <c r="H11" s="249" t="s">
        <v>112</v>
      </c>
      <c r="I11" s="249"/>
      <c r="J11" s="248" t="s">
        <v>89</v>
      </c>
      <c r="K11" s="248" t="s">
        <v>90</v>
      </c>
      <c r="L11" s="249" t="s">
        <v>113</v>
      </c>
      <c r="M11" s="249"/>
      <c r="N11" s="248" t="s">
        <v>150</v>
      </c>
      <c r="O11" s="248" t="s">
        <v>151</v>
      </c>
      <c r="P11" s="249" t="s">
        <v>152</v>
      </c>
      <c r="Q11" s="249"/>
      <c r="R11" s="248" t="s">
        <v>153</v>
      </c>
      <c r="S11" s="248" t="s">
        <v>152</v>
      </c>
      <c r="T11" s="249" t="s">
        <v>153</v>
      </c>
      <c r="U11" s="249"/>
      <c r="V11" s="248" t="s">
        <v>154</v>
      </c>
      <c r="W11" s="248" t="s">
        <v>155</v>
      </c>
      <c r="Y11" s="106"/>
      <c r="Z11" s="106"/>
      <c r="AA11" s="106"/>
      <c r="AB11" s="106"/>
      <c r="AC11" s="106"/>
      <c r="AD11" s="106"/>
      <c r="AE11" s="106"/>
      <c r="AF11" s="106"/>
      <c r="AG11" s="106"/>
      <c r="AH11" s="106"/>
      <c r="AI11" s="106"/>
      <c r="AJ11" s="106"/>
      <c r="AK11" s="106"/>
      <c r="AL11" s="106"/>
      <c r="AM11" s="106"/>
      <c r="AN11" s="106"/>
      <c r="AO11" s="106"/>
      <c r="AP11" s="106"/>
      <c r="AQ11" s="106"/>
    </row>
    <row r="12" ht="14.25" hidden="1" customHeight="1">
      <c r="C12" s="127"/>
      <c r="D12" s="250">
        <v>0</v>
      </c>
      <c r="E12" s="156"/>
      <c r="F12" s="156"/>
      <c r="G12" s="156"/>
      <c r="H12" s="251"/>
      <c r="I12" s="251"/>
      <c r="J12" s="219"/>
      <c r="K12" s="219"/>
      <c r="L12" s="219"/>
      <c r="M12" s="219"/>
      <c r="N12" s="252"/>
      <c r="O12" s="219"/>
      <c r="P12" s="219"/>
      <c r="Q12" s="219"/>
      <c r="R12" s="253"/>
      <c r="S12" s="219"/>
      <c r="T12" s="219"/>
      <c r="U12" s="219"/>
      <c r="V12" s="253"/>
      <c r="W12" s="219"/>
      <c r="X12" s="185"/>
    </row>
    <row r="13" s="185" customFormat="1" ht="17.25" hidden="1" customHeight="1">
      <c r="A13" s="254"/>
      <c r="C13" s="127"/>
      <c r="D13" s="255">
        <v>1</v>
      </c>
      <c r="E13" s="256" t="s">
        <v>156</v>
      </c>
      <c r="F13" s="257" t="s">
        <v>54</v>
      </c>
      <c r="G13" s="256"/>
      <c r="H13" s="258"/>
      <c r="I13" s="259"/>
      <c r="J13" s="260"/>
      <c r="K13" s="261"/>
      <c r="L13" s="261"/>
      <c r="M13" s="261"/>
      <c r="N13" s="262"/>
      <c r="O13" s="261"/>
      <c r="P13" s="261"/>
      <c r="Q13" s="261"/>
      <c r="R13" s="263"/>
      <c r="S13" s="261"/>
      <c r="T13" s="261"/>
      <c r="U13" s="261"/>
      <c r="V13" s="263"/>
      <c r="W13" s="264"/>
      <c r="Y13" s="265"/>
      <c r="Z13" s="265"/>
      <c r="AA13" s="265"/>
      <c r="AB13" s="265"/>
      <c r="AC13" s="265" t="s">
        <v>157</v>
      </c>
      <c r="AD13" s="265" t="s">
        <v>158</v>
      </c>
      <c r="AE13" s="265" t="s">
        <v>159</v>
      </c>
      <c r="AF13" s="265" t="s">
        <v>160</v>
      </c>
      <c r="AG13" s="265" t="s">
        <v>161</v>
      </c>
      <c r="AH13" s="265" t="str">
        <f>IF($E$13=0,"",$E$13)</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65" t="str">
        <f>IF($G$13=0,"",$G$13)</f>
        <v/>
      </c>
      <c r="AJ13" s="265" t="str">
        <f>IF($J$13=0,"",$J$13)</f>
        <v/>
      </c>
      <c r="AK13" s="265" t="str">
        <f>IF($K$13="нет","без дифференциации",IF($N$13=0,"",$N$13))</f>
        <v/>
      </c>
      <c r="AL13" s="265" t="str">
        <f>IF($O$13="нет","без дифференциации",IF($R$13=0,"",$R$13))</f>
        <v/>
      </c>
      <c r="AM13" s="265" t="str">
        <f>IF($S$13="нет","без дифференциации",IF($V$13=0,"",$V$13))</f>
        <v/>
      </c>
      <c r="AN13" s="265">
        <f>$I$13</f>
        <v>0</v>
      </c>
      <c r="AO13" s="265" t="str">
        <f>$I$13&amp;"."&amp;$M$13</f>
        <v>.</v>
      </c>
      <c r="AP13" s="265" t="str">
        <f>$I$13&amp;"."&amp;$M$13&amp;"."&amp;$Q$13</f>
        <v>..</v>
      </c>
      <c r="AQ13" s="265" t="str">
        <f>$I$13&amp;"."&amp;$M$13&amp;"."&amp;$Q$13&amp;"."&amp;$U$13</f>
        <v>...</v>
      </c>
    </row>
    <row r="14" s="185" customFormat="1" ht="17.25" hidden="1" customHeight="1">
      <c r="A14" s="254"/>
      <c r="C14" s="185"/>
      <c r="D14" s="255"/>
      <c r="E14" s="256"/>
      <c r="F14" s="266"/>
      <c r="G14" s="256"/>
      <c r="H14" s="267"/>
      <c r="I14" s="268"/>
      <c r="J14" s="269"/>
      <c r="K14" s="124"/>
      <c r="L14" s="124"/>
      <c r="M14" s="124"/>
      <c r="N14" s="270"/>
      <c r="O14" s="124"/>
      <c r="P14" s="124"/>
      <c r="Q14" s="124"/>
      <c r="R14" s="271"/>
      <c r="S14" s="124"/>
      <c r="T14" s="272"/>
      <c r="U14" s="272"/>
      <c r="V14" s="272"/>
      <c r="W14" s="273"/>
      <c r="Y14" s="106"/>
      <c r="Z14" s="106"/>
      <c r="AA14" s="106"/>
      <c r="AB14" s="106"/>
      <c r="AC14" s="106"/>
      <c r="AD14" s="106"/>
      <c r="AE14" s="106"/>
      <c r="AF14" s="106"/>
      <c r="AG14" s="106"/>
      <c r="AH14" s="106"/>
      <c r="AI14" s="106"/>
      <c r="AJ14" s="106"/>
      <c r="AK14" s="106"/>
      <c r="AL14" s="106"/>
      <c r="AM14" s="106"/>
      <c r="AN14" s="106"/>
      <c r="AO14" s="106"/>
      <c r="AP14" s="106"/>
      <c r="AQ14" s="106"/>
    </row>
    <row r="15" s="185" customFormat="1" ht="17.25" hidden="1" customHeight="1">
      <c r="A15" s="254"/>
      <c r="C15" s="127"/>
      <c r="D15" s="255"/>
      <c r="E15" s="256"/>
      <c r="F15" s="266"/>
      <c r="G15" s="256"/>
      <c r="H15" s="267"/>
      <c r="I15" s="268"/>
      <c r="J15" s="274"/>
      <c r="K15" s="124"/>
      <c r="L15" s="124"/>
      <c r="M15" s="124"/>
      <c r="N15" s="271"/>
      <c r="O15" s="124"/>
      <c r="P15" s="124"/>
      <c r="Q15" s="272"/>
      <c r="R15" s="272"/>
      <c r="S15" s="185"/>
      <c r="T15" s="185"/>
      <c r="U15" s="185"/>
      <c r="V15" s="185"/>
      <c r="W15" s="273"/>
      <c r="Y15" s="265"/>
      <c r="Z15" s="265"/>
      <c r="AA15" s="265"/>
      <c r="AB15" s="265"/>
      <c r="AC15" s="265"/>
      <c r="AD15" s="265"/>
      <c r="AE15" s="265"/>
      <c r="AF15" s="265"/>
      <c r="AG15" s="265"/>
      <c r="AH15" s="265"/>
      <c r="AI15" s="265"/>
      <c r="AJ15" s="265"/>
      <c r="AK15" s="265"/>
      <c r="AL15" s="265"/>
      <c r="AM15" s="265"/>
      <c r="AN15" s="265"/>
      <c r="AO15" s="265"/>
      <c r="AP15" s="265"/>
      <c r="AQ15" s="265"/>
    </row>
    <row r="16" s="185" customFormat="1" ht="17.25" hidden="1" customHeight="1">
      <c r="A16" s="254"/>
      <c r="C16" s="185"/>
      <c r="D16" s="255"/>
      <c r="E16" s="256"/>
      <c r="F16" s="266"/>
      <c r="G16" s="256"/>
      <c r="H16" s="267"/>
      <c r="I16" s="268"/>
      <c r="J16" s="274"/>
      <c r="K16" s="124"/>
      <c r="L16" s="272"/>
      <c r="M16" s="272"/>
      <c r="N16" s="272"/>
      <c r="O16" s="272"/>
      <c r="P16" s="272"/>
      <c r="Q16" s="272"/>
      <c r="R16" s="272"/>
      <c r="S16" s="185"/>
      <c r="T16" s="185"/>
      <c r="U16" s="185"/>
      <c r="V16" s="185"/>
      <c r="W16" s="273"/>
      <c r="Y16" s="106"/>
      <c r="Z16" s="106"/>
      <c r="AA16" s="106"/>
      <c r="AB16" s="106"/>
      <c r="AC16" s="106"/>
      <c r="AD16" s="106"/>
      <c r="AE16" s="106"/>
      <c r="AF16" s="106"/>
      <c r="AG16" s="106"/>
      <c r="AH16" s="106"/>
      <c r="AI16" s="106"/>
      <c r="AJ16" s="106"/>
      <c r="AK16" s="106"/>
      <c r="AL16" s="106"/>
      <c r="AM16" s="106"/>
      <c r="AN16" s="106"/>
      <c r="AO16" s="106"/>
      <c r="AP16" s="106"/>
      <c r="AQ16" s="106"/>
    </row>
    <row r="17" s="185" customFormat="1" ht="17.25" hidden="1" customHeight="1">
      <c r="A17" s="254"/>
      <c r="C17" s="185"/>
      <c r="D17" s="275"/>
      <c r="E17" s="276"/>
      <c r="F17" s="277"/>
      <c r="G17" s="276"/>
      <c r="H17" s="278"/>
      <c r="I17" s="279"/>
      <c r="J17" s="279"/>
      <c r="K17" s="279"/>
      <c r="L17" s="279"/>
      <c r="M17" s="279"/>
      <c r="N17" s="279"/>
      <c r="O17" s="279"/>
      <c r="P17" s="279"/>
      <c r="Q17" s="279"/>
      <c r="R17" s="279"/>
      <c r="S17" s="280"/>
      <c r="T17" s="280"/>
      <c r="U17" s="280"/>
      <c r="V17" s="280"/>
      <c r="W17" s="281"/>
      <c r="Y17" s="106"/>
      <c r="Z17" s="106"/>
      <c r="AA17" s="106"/>
      <c r="AB17" s="106"/>
      <c r="AC17" s="106"/>
      <c r="AD17" s="106"/>
      <c r="AE17" s="106"/>
      <c r="AF17" s="106"/>
      <c r="AG17" s="106"/>
      <c r="AH17" s="106"/>
      <c r="AI17" s="106"/>
      <c r="AJ17" s="106"/>
      <c r="AK17" s="106"/>
      <c r="AL17" s="106"/>
      <c r="AM17" s="106"/>
      <c r="AN17" s="106"/>
      <c r="AO17" s="106"/>
      <c r="AP17" s="106"/>
      <c r="AQ17" s="106"/>
    </row>
    <row r="18" s="185" customFormat="1" ht="17.25" hidden="1" customHeight="1">
      <c r="A18" s="254"/>
      <c r="C18" s="127"/>
      <c r="D18" s="255">
        <v>2</v>
      </c>
      <c r="E18" s="256" t="s">
        <v>162</v>
      </c>
      <c r="F18" s="257" t="s">
        <v>54</v>
      </c>
      <c r="G18" s="256"/>
      <c r="H18" s="258"/>
      <c r="I18" s="259"/>
      <c r="J18" s="260"/>
      <c r="K18" s="261"/>
      <c r="L18" s="261"/>
      <c r="M18" s="261"/>
      <c r="N18" s="262"/>
      <c r="O18" s="261"/>
      <c r="P18" s="261"/>
      <c r="Q18" s="261"/>
      <c r="R18" s="263"/>
      <c r="S18" s="261"/>
      <c r="T18" s="261"/>
      <c r="U18" s="261"/>
      <c r="V18" s="263"/>
      <c r="W18" s="264"/>
      <c r="X18" s="265"/>
      <c r="Y18" s="265"/>
      <c r="Z18" s="265"/>
      <c r="AA18" s="265"/>
      <c r="AB18" s="265"/>
      <c r="AC18" s="265" t="s">
        <v>163</v>
      </c>
      <c r="AD18" s="265" t="s">
        <v>164</v>
      </c>
      <c r="AE18" s="265" t="s">
        <v>165</v>
      </c>
      <c r="AF18" s="265" t="s">
        <v>166</v>
      </c>
      <c r="AG18" s="265" t="s">
        <v>167</v>
      </c>
      <c r="AH18" s="265" t="str">
        <f>IF($E$18=0,"",$E$18)</f>
        <v xml:space="preserve">Тарифы на тепловую энергию (мощность), поставляемую теплоснабжающими организациями потребителям, другим теплоснабжающим организациям</v>
      </c>
      <c r="AI18" s="265" t="str">
        <f>IF($G$18=0,"",$G$18)</f>
        <v/>
      </c>
      <c r="AJ18" s="265" t="str">
        <f>IF($J$18=0,"",$J$18)</f>
        <v/>
      </c>
      <c r="AK18" s="265" t="str">
        <f>IF($K$18="нет","без дифференциации",IF($N$18=0,"",$N$18))</f>
        <v/>
      </c>
      <c r="AL18" s="265" t="str">
        <f>IF($O$18="нет","без дифференциации",IF($R$18=0,"",$R$18))</f>
        <v/>
      </c>
      <c r="AM18" s="265" t="str">
        <f>IF($S$18="нет","без дифференциации",IF($V$18=0,"",$V$18))</f>
        <v/>
      </c>
      <c r="AN18" s="282">
        <f>$I$18</f>
        <v>0</v>
      </c>
      <c r="AO18" s="265" t="str">
        <f>$I$18&amp;"."&amp;$M$18</f>
        <v>.</v>
      </c>
      <c r="AP18" s="106" t="str">
        <f>$I$18&amp;"."&amp;$M$18&amp;"."&amp;$Q$18</f>
        <v>..</v>
      </c>
      <c r="AQ18" s="106" t="str">
        <f>$I$18&amp;"."&amp;$M$18&amp;"."&amp;$Q$18&amp;"."&amp;$U$18</f>
        <v>...</v>
      </c>
    </row>
    <row r="19" s="185" customFormat="1" ht="17.25" hidden="1" customHeight="1">
      <c r="A19" s="254"/>
      <c r="C19" s="185"/>
      <c r="D19" s="255"/>
      <c r="E19" s="256"/>
      <c r="F19" s="266"/>
      <c r="G19" s="256"/>
      <c r="H19" s="267"/>
      <c r="I19" s="268"/>
      <c r="J19" s="269"/>
      <c r="K19" s="124"/>
      <c r="L19" s="124"/>
      <c r="M19" s="124"/>
      <c r="N19" s="270"/>
      <c r="O19" s="124"/>
      <c r="P19" s="124"/>
      <c r="Q19" s="124"/>
      <c r="R19" s="271"/>
      <c r="S19" s="124"/>
      <c r="T19" s="272"/>
      <c r="U19" s="272"/>
      <c r="V19" s="272"/>
      <c r="W19" s="273"/>
      <c r="X19" s="106"/>
      <c r="Y19" s="106"/>
      <c r="Z19" s="106"/>
      <c r="AA19" s="106"/>
      <c r="AB19" s="106"/>
      <c r="AC19" s="106"/>
      <c r="AD19" s="106"/>
      <c r="AE19" s="106"/>
      <c r="AF19" s="106"/>
      <c r="AG19" s="106"/>
      <c r="AH19" s="106"/>
      <c r="AI19" s="106"/>
      <c r="AJ19" s="106"/>
      <c r="AK19" s="106"/>
      <c r="AL19" s="106"/>
      <c r="AM19" s="106"/>
      <c r="AN19" s="106"/>
      <c r="AO19" s="106"/>
      <c r="AP19" s="106"/>
      <c r="AQ19" s="106"/>
    </row>
    <row r="20" s="185" customFormat="1" ht="17.25" hidden="1" customHeight="1">
      <c r="A20" s="254"/>
      <c r="C20" s="185"/>
      <c r="D20" s="275"/>
      <c r="E20" s="276"/>
      <c r="F20" s="266"/>
      <c r="G20" s="276"/>
      <c r="H20" s="267"/>
      <c r="I20" s="268"/>
      <c r="J20" s="274"/>
      <c r="K20" s="124"/>
      <c r="L20" s="124"/>
      <c r="M20" s="124"/>
      <c r="N20" s="271"/>
      <c r="O20" s="124"/>
      <c r="P20" s="124"/>
      <c r="Q20" s="272"/>
      <c r="R20" s="272"/>
      <c r="S20" s="185"/>
      <c r="T20" s="185"/>
      <c r="U20" s="185"/>
      <c r="V20" s="185"/>
      <c r="W20" s="273"/>
      <c r="X20" s="106"/>
      <c r="Y20" s="106"/>
      <c r="Z20" s="106"/>
      <c r="AA20" s="106"/>
      <c r="AB20" s="106"/>
      <c r="AC20" s="106"/>
      <c r="AD20" s="106"/>
      <c r="AE20" s="106"/>
      <c r="AF20" s="106"/>
      <c r="AG20" s="106"/>
      <c r="AH20" s="106"/>
      <c r="AI20" s="106"/>
      <c r="AJ20" s="106"/>
      <c r="AK20" s="106"/>
      <c r="AL20" s="106"/>
      <c r="AM20" s="106"/>
      <c r="AN20" s="106"/>
      <c r="AO20" s="106"/>
      <c r="AP20" s="106"/>
      <c r="AQ20" s="106"/>
    </row>
    <row r="21" s="185" customFormat="1" ht="17.25" hidden="1" customHeight="1">
      <c r="A21" s="254"/>
      <c r="C21" s="185"/>
      <c r="D21" s="275"/>
      <c r="E21" s="276"/>
      <c r="F21" s="266"/>
      <c r="G21" s="276"/>
      <c r="H21" s="267"/>
      <c r="I21" s="268"/>
      <c r="J21" s="274"/>
      <c r="K21" s="124"/>
      <c r="L21" s="272"/>
      <c r="M21" s="272"/>
      <c r="N21" s="272"/>
      <c r="O21" s="272"/>
      <c r="P21" s="272"/>
      <c r="Q21" s="272"/>
      <c r="R21" s="272"/>
      <c r="S21" s="185"/>
      <c r="T21" s="185"/>
      <c r="U21" s="185"/>
      <c r="V21" s="185"/>
      <c r="W21" s="273"/>
      <c r="X21" s="106"/>
      <c r="Y21" s="106"/>
      <c r="Z21" s="106"/>
      <c r="AA21" s="106"/>
      <c r="AB21" s="106"/>
      <c r="AC21" s="106"/>
      <c r="AD21" s="106"/>
      <c r="AE21" s="106"/>
      <c r="AF21" s="106"/>
      <c r="AG21" s="106"/>
      <c r="AH21" s="106"/>
      <c r="AI21" s="106"/>
      <c r="AJ21" s="106"/>
      <c r="AK21" s="106"/>
      <c r="AL21" s="106"/>
      <c r="AM21" s="106"/>
      <c r="AN21" s="106"/>
      <c r="AO21" s="106"/>
      <c r="AP21" s="106"/>
      <c r="AQ21" s="106"/>
    </row>
    <row r="22" s="185" customFormat="1" ht="17.25" hidden="1" customHeight="1">
      <c r="A22" s="254"/>
      <c r="C22" s="185"/>
      <c r="D22" s="275"/>
      <c r="E22" s="276"/>
      <c r="F22" s="277"/>
      <c r="G22" s="276"/>
      <c r="H22" s="278"/>
      <c r="I22" s="279"/>
      <c r="J22" s="279"/>
      <c r="K22" s="279"/>
      <c r="L22" s="279"/>
      <c r="M22" s="279"/>
      <c r="N22" s="279"/>
      <c r="O22" s="279"/>
      <c r="P22" s="279"/>
      <c r="Q22" s="279"/>
      <c r="R22" s="279"/>
      <c r="S22" s="280"/>
      <c r="T22" s="280"/>
      <c r="U22" s="280"/>
      <c r="V22" s="280"/>
      <c r="W22" s="281"/>
      <c r="X22" s="106"/>
      <c r="Y22" s="106"/>
      <c r="Z22" s="106"/>
      <c r="AA22" s="106"/>
      <c r="AB22" s="106"/>
      <c r="AC22" s="106"/>
      <c r="AD22" s="106"/>
      <c r="AE22" s="106"/>
      <c r="AF22" s="106"/>
      <c r="AG22" s="106"/>
      <c r="AH22" s="106"/>
      <c r="AI22" s="106"/>
      <c r="AJ22" s="106"/>
      <c r="AK22" s="106"/>
      <c r="AL22" s="106"/>
      <c r="AM22" s="106"/>
      <c r="AN22" s="106"/>
      <c r="AO22" s="106"/>
      <c r="AP22" s="106"/>
      <c r="AQ22" s="106"/>
    </row>
    <row r="23" s="185" customFormat="1" ht="17.25" hidden="1" customHeight="1">
      <c r="A23" s="254"/>
      <c r="C23" s="127"/>
      <c r="D23" s="255">
        <v>3</v>
      </c>
      <c r="E23" s="256" t="s">
        <v>168</v>
      </c>
      <c r="F23" s="257" t="s">
        <v>54</v>
      </c>
      <c r="G23" s="256"/>
      <c r="H23" s="258"/>
      <c r="I23" s="259"/>
      <c r="J23" s="260"/>
      <c r="K23" s="261"/>
      <c r="L23" s="261"/>
      <c r="M23" s="261"/>
      <c r="N23" s="262"/>
      <c r="O23" s="261"/>
      <c r="P23" s="261"/>
      <c r="Q23" s="261"/>
      <c r="R23" s="263"/>
      <c r="S23" s="261"/>
      <c r="T23" s="261"/>
      <c r="U23" s="261"/>
      <c r="V23" s="263"/>
      <c r="W23" s="264"/>
      <c r="X23" s="265"/>
      <c r="Y23" s="265"/>
      <c r="Z23" s="265"/>
      <c r="AA23" s="265"/>
      <c r="AB23" s="265"/>
      <c r="AC23" s="265" t="s">
        <v>169</v>
      </c>
      <c r="AD23" s="265" t="s">
        <v>170</v>
      </c>
      <c r="AE23" s="265" t="s">
        <v>171</v>
      </c>
      <c r="AF23" s="265" t="s">
        <v>172</v>
      </c>
      <c r="AG23" s="265" t="s">
        <v>173</v>
      </c>
      <c r="AH23" s="265" t="str">
        <f>IF($E$23=0,"",$E$23)</f>
        <v xml:space="preserve">Тарифы на теплоноситель, поставляемый теплоснабжающими организациями потребителям, другим теплоснабжающим организациям</v>
      </c>
      <c r="AI23" s="265" t="str">
        <f>IF($G$23=0,"",$G$23)</f>
        <v/>
      </c>
      <c r="AJ23" s="265" t="str">
        <f>IF($J$23=0,"",$J$23)</f>
        <v/>
      </c>
      <c r="AK23" s="265" t="str">
        <f>IF($K$23="нет","без дифференциации",IF($N$23=0,"",$N$23))</f>
        <v/>
      </c>
      <c r="AL23" s="265" t="str">
        <f>IF($O$23="нет","без дифференциации",IF($R$23=0,"",$R$23))</f>
        <v/>
      </c>
      <c r="AM23" s="265" t="str">
        <f>IF($S$23="нет","без дифференциации",IF($V$23=0,"",$V$23))</f>
        <v/>
      </c>
      <c r="AN23" s="282">
        <f>$I$23</f>
        <v>0</v>
      </c>
      <c r="AO23" s="265" t="str">
        <f>$I$23&amp;"."&amp;$M$23</f>
        <v>.</v>
      </c>
      <c r="AP23" s="106" t="str">
        <f>$I$23&amp;"."&amp;$M$23&amp;"."&amp;$Q$23</f>
        <v>..</v>
      </c>
      <c r="AQ23" s="106" t="str">
        <f>$I$23&amp;"."&amp;$M$23&amp;"."&amp;$Q$23&amp;"."&amp;$U$23</f>
        <v>...</v>
      </c>
    </row>
    <row r="24" s="185" customFormat="1" ht="17.25" hidden="1" customHeight="1">
      <c r="A24" s="254"/>
      <c r="C24" s="185"/>
      <c r="D24" s="255"/>
      <c r="E24" s="256"/>
      <c r="F24" s="266"/>
      <c r="G24" s="256"/>
      <c r="H24" s="267"/>
      <c r="I24" s="268"/>
      <c r="J24" s="269"/>
      <c r="K24" s="124"/>
      <c r="L24" s="124"/>
      <c r="M24" s="124"/>
      <c r="N24" s="270"/>
      <c r="O24" s="124"/>
      <c r="P24" s="124"/>
      <c r="Q24" s="124"/>
      <c r="R24" s="271"/>
      <c r="S24" s="124"/>
      <c r="T24" s="272"/>
      <c r="U24" s="272"/>
      <c r="V24" s="272"/>
      <c r="W24" s="273"/>
      <c r="X24" s="106"/>
      <c r="Y24" s="106"/>
      <c r="Z24" s="106"/>
      <c r="AA24" s="106"/>
      <c r="AB24" s="106"/>
      <c r="AC24" s="106"/>
      <c r="AD24" s="106"/>
      <c r="AE24" s="106"/>
      <c r="AF24" s="106"/>
      <c r="AG24" s="106"/>
      <c r="AH24" s="106"/>
      <c r="AI24" s="106"/>
      <c r="AJ24" s="106"/>
      <c r="AK24" s="106"/>
      <c r="AL24" s="106"/>
      <c r="AM24" s="106"/>
      <c r="AN24" s="106"/>
      <c r="AO24" s="106"/>
      <c r="AP24" s="106"/>
      <c r="AQ24" s="106"/>
    </row>
    <row r="25" s="185" customFormat="1" ht="17.25" hidden="1" customHeight="1">
      <c r="A25" s="254"/>
      <c r="C25" s="185"/>
      <c r="D25" s="275"/>
      <c r="E25" s="276"/>
      <c r="F25" s="266"/>
      <c r="G25" s="276"/>
      <c r="H25" s="267"/>
      <c r="I25" s="268"/>
      <c r="J25" s="274"/>
      <c r="K25" s="124"/>
      <c r="L25" s="124"/>
      <c r="M25" s="124"/>
      <c r="N25" s="271"/>
      <c r="O25" s="124"/>
      <c r="P25" s="124"/>
      <c r="Q25" s="272"/>
      <c r="R25" s="272"/>
      <c r="S25" s="185"/>
      <c r="T25" s="185"/>
      <c r="U25" s="185"/>
      <c r="V25" s="185"/>
      <c r="W25" s="273"/>
      <c r="X25" s="106"/>
      <c r="Y25" s="106"/>
      <c r="Z25" s="106"/>
      <c r="AA25" s="106"/>
      <c r="AB25" s="106"/>
      <c r="AC25" s="106"/>
      <c r="AD25" s="106"/>
      <c r="AE25" s="106"/>
      <c r="AF25" s="106"/>
      <c r="AG25" s="106"/>
      <c r="AH25" s="106"/>
      <c r="AI25" s="106"/>
      <c r="AJ25" s="106"/>
      <c r="AK25" s="106"/>
      <c r="AL25" s="106"/>
      <c r="AM25" s="106"/>
      <c r="AN25" s="106"/>
      <c r="AO25" s="106"/>
      <c r="AP25" s="106"/>
      <c r="AQ25" s="106"/>
    </row>
    <row r="26" s="185" customFormat="1" ht="17.25" hidden="1" customHeight="1">
      <c r="A26" s="254"/>
      <c r="C26" s="185"/>
      <c r="D26" s="275"/>
      <c r="E26" s="276"/>
      <c r="F26" s="266"/>
      <c r="G26" s="276"/>
      <c r="H26" s="267"/>
      <c r="I26" s="268"/>
      <c r="J26" s="274"/>
      <c r="K26" s="124"/>
      <c r="L26" s="272"/>
      <c r="M26" s="272"/>
      <c r="N26" s="272"/>
      <c r="O26" s="272"/>
      <c r="P26" s="272"/>
      <c r="Q26" s="272"/>
      <c r="R26" s="272"/>
      <c r="S26" s="185"/>
      <c r="T26" s="185"/>
      <c r="U26" s="185"/>
      <c r="V26" s="185"/>
      <c r="W26" s="273"/>
      <c r="X26" s="106"/>
      <c r="Y26" s="106"/>
      <c r="Z26" s="106"/>
      <c r="AA26" s="106"/>
      <c r="AB26" s="106"/>
      <c r="AC26" s="106"/>
      <c r="AD26" s="106"/>
      <c r="AE26" s="106"/>
      <c r="AF26" s="106"/>
      <c r="AG26" s="106"/>
      <c r="AH26" s="106"/>
      <c r="AI26" s="106"/>
      <c r="AJ26" s="106"/>
      <c r="AK26" s="106"/>
      <c r="AL26" s="106"/>
      <c r="AM26" s="106"/>
      <c r="AN26" s="106"/>
      <c r="AO26" s="106"/>
      <c r="AP26" s="106"/>
      <c r="AQ26" s="106"/>
    </row>
    <row r="27" s="185" customFormat="1" ht="17.25" hidden="1" customHeight="1">
      <c r="A27" s="254"/>
      <c r="C27" s="185"/>
      <c r="D27" s="275"/>
      <c r="E27" s="276"/>
      <c r="F27" s="277"/>
      <c r="G27" s="276"/>
      <c r="H27" s="278"/>
      <c r="I27" s="279"/>
      <c r="J27" s="279"/>
      <c r="K27" s="279"/>
      <c r="L27" s="279"/>
      <c r="M27" s="279"/>
      <c r="N27" s="279"/>
      <c r="O27" s="279"/>
      <c r="P27" s="279"/>
      <c r="Q27" s="279"/>
      <c r="R27" s="279"/>
      <c r="S27" s="280"/>
      <c r="T27" s="280"/>
      <c r="U27" s="280"/>
      <c r="V27" s="280"/>
      <c r="W27" s="281"/>
      <c r="X27" s="106"/>
      <c r="Y27" s="106"/>
      <c r="Z27" s="106"/>
      <c r="AA27" s="106"/>
      <c r="AB27" s="106"/>
      <c r="AC27" s="106"/>
      <c r="AD27" s="106"/>
      <c r="AE27" s="106"/>
      <c r="AF27" s="106"/>
      <c r="AG27" s="106"/>
      <c r="AH27" s="106"/>
      <c r="AI27" s="106"/>
      <c r="AJ27" s="106"/>
      <c r="AK27" s="106"/>
      <c r="AL27" s="106"/>
      <c r="AM27" s="106"/>
      <c r="AN27" s="106"/>
      <c r="AO27" s="106"/>
      <c r="AP27" s="106"/>
      <c r="AQ27" s="106"/>
    </row>
    <row r="28" s="185" customFormat="1" ht="17.25" hidden="1" customHeight="1">
      <c r="A28" s="254"/>
      <c r="C28" s="127"/>
      <c r="D28" s="255">
        <v>4</v>
      </c>
      <c r="E28" s="256" t="s">
        <v>174</v>
      </c>
      <c r="F28" s="257" t="s">
        <v>54</v>
      </c>
      <c r="G28" s="256"/>
      <c r="H28" s="258"/>
      <c r="I28" s="259"/>
      <c r="J28" s="260"/>
      <c r="K28" s="261"/>
      <c r="L28" s="261"/>
      <c r="M28" s="261"/>
      <c r="N28" s="262"/>
      <c r="O28" s="261"/>
      <c r="P28" s="261"/>
      <c r="Q28" s="261"/>
      <c r="R28" s="263"/>
      <c r="S28" s="261"/>
      <c r="T28" s="261"/>
      <c r="U28" s="261"/>
      <c r="V28" s="263"/>
      <c r="W28" s="264"/>
      <c r="X28" s="265"/>
      <c r="Y28" s="265"/>
      <c r="Z28" s="265"/>
      <c r="AA28" s="265"/>
      <c r="AB28" s="265"/>
      <c r="AC28" s="265" t="s">
        <v>175</v>
      </c>
      <c r="AD28" s="265" t="s">
        <v>176</v>
      </c>
      <c r="AE28" s="265" t="s">
        <v>177</v>
      </c>
      <c r="AF28" s="265" t="s">
        <v>178</v>
      </c>
      <c r="AG28" s="265" t="s">
        <v>179</v>
      </c>
      <c r="AH28" s="265" t="str">
        <f>IF($E$28=0,"",$E$28)</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65" t="str">
        <f>IF($G$28=0,"",$G$28)</f>
        <v/>
      </c>
      <c r="AJ28" s="265" t="str">
        <f>IF($J$28=0,"",$J$28)</f>
        <v/>
      </c>
      <c r="AK28" s="265" t="str">
        <f>IF($K$28="нет","без дифференциации",IF($N$28=0,"",$N$28))</f>
        <v/>
      </c>
      <c r="AL28" s="265" t="str">
        <f>IF($O$28="нет","без дифференциации",IF($R$28=0,"",$R$28))</f>
        <v/>
      </c>
      <c r="AM28" s="265" t="str">
        <f>IF($S$28="нет","без дифференциации",IF($V$28=0,"",$V$28))</f>
        <v/>
      </c>
      <c r="AN28" s="282">
        <f>$I$28</f>
        <v>0</v>
      </c>
      <c r="AO28" s="265" t="str">
        <f>$I$28&amp;"."&amp;$M$28</f>
        <v>.</v>
      </c>
      <c r="AP28" s="106" t="str">
        <f>$I$28&amp;"."&amp;$M$28&amp;"."&amp;$Q$28</f>
        <v>..</v>
      </c>
      <c r="AQ28" s="106" t="str">
        <f>$I$28&amp;"."&amp;$M$28&amp;"."&amp;$Q$28&amp;"."&amp;$U$28</f>
        <v>...</v>
      </c>
    </row>
    <row r="29" s="185" customFormat="1" ht="17.25" hidden="1" customHeight="1">
      <c r="A29" s="254"/>
      <c r="C29" s="185"/>
      <c r="D29" s="255"/>
      <c r="E29" s="256"/>
      <c r="F29" s="266"/>
      <c r="G29" s="256"/>
      <c r="H29" s="267"/>
      <c r="I29" s="268"/>
      <c r="J29" s="269"/>
      <c r="K29" s="124"/>
      <c r="L29" s="124"/>
      <c r="M29" s="124"/>
      <c r="N29" s="270"/>
      <c r="O29" s="124"/>
      <c r="P29" s="124"/>
      <c r="Q29" s="124"/>
      <c r="R29" s="271"/>
      <c r="S29" s="124"/>
      <c r="T29" s="272"/>
      <c r="U29" s="272"/>
      <c r="V29" s="272"/>
      <c r="W29" s="273"/>
      <c r="X29" s="106"/>
      <c r="Y29" s="106"/>
      <c r="Z29" s="106"/>
      <c r="AA29" s="106"/>
      <c r="AB29" s="106"/>
      <c r="AC29" s="106"/>
      <c r="AD29" s="106"/>
      <c r="AE29" s="106"/>
      <c r="AF29" s="106"/>
      <c r="AG29" s="106"/>
      <c r="AH29" s="106"/>
      <c r="AI29" s="106"/>
      <c r="AJ29" s="106"/>
      <c r="AK29" s="106"/>
      <c r="AL29" s="106"/>
      <c r="AM29" s="106"/>
      <c r="AN29" s="106"/>
      <c r="AO29" s="106"/>
      <c r="AP29" s="106"/>
      <c r="AQ29" s="106"/>
    </row>
    <row r="30" s="185" customFormat="1" ht="17.25" hidden="1" customHeight="1">
      <c r="A30" s="254"/>
      <c r="C30" s="185"/>
      <c r="D30" s="275"/>
      <c r="E30" s="276"/>
      <c r="F30" s="266"/>
      <c r="G30" s="276"/>
      <c r="H30" s="267"/>
      <c r="I30" s="268"/>
      <c r="J30" s="274"/>
      <c r="K30" s="124"/>
      <c r="L30" s="124"/>
      <c r="M30" s="124"/>
      <c r="N30" s="271"/>
      <c r="O30" s="124"/>
      <c r="P30" s="124"/>
      <c r="Q30" s="272"/>
      <c r="R30" s="272"/>
      <c r="S30" s="185"/>
      <c r="T30" s="185"/>
      <c r="U30" s="185"/>
      <c r="V30" s="185"/>
      <c r="W30" s="273"/>
      <c r="X30" s="106"/>
      <c r="Y30" s="106"/>
      <c r="Z30" s="106"/>
      <c r="AA30" s="106"/>
      <c r="AB30" s="106"/>
      <c r="AC30" s="106"/>
      <c r="AD30" s="106"/>
      <c r="AE30" s="106"/>
      <c r="AF30" s="106"/>
      <c r="AG30" s="106"/>
      <c r="AH30" s="106"/>
      <c r="AI30" s="106"/>
      <c r="AJ30" s="106"/>
      <c r="AK30" s="106"/>
      <c r="AL30" s="106"/>
      <c r="AM30" s="106"/>
      <c r="AN30" s="106"/>
      <c r="AO30" s="106"/>
      <c r="AP30" s="106"/>
      <c r="AQ30" s="106"/>
    </row>
    <row r="31" s="185" customFormat="1" ht="17.25" hidden="1" customHeight="1">
      <c r="A31" s="254"/>
      <c r="C31" s="185"/>
      <c r="D31" s="275"/>
      <c r="E31" s="276"/>
      <c r="F31" s="266"/>
      <c r="G31" s="276"/>
      <c r="H31" s="267"/>
      <c r="I31" s="268"/>
      <c r="J31" s="274"/>
      <c r="K31" s="124"/>
      <c r="L31" s="272"/>
      <c r="M31" s="272"/>
      <c r="N31" s="272"/>
      <c r="O31" s="272"/>
      <c r="P31" s="272"/>
      <c r="Q31" s="272"/>
      <c r="R31" s="272"/>
      <c r="S31" s="185"/>
      <c r="T31" s="185"/>
      <c r="U31" s="185"/>
      <c r="V31" s="185"/>
      <c r="W31" s="273"/>
      <c r="X31" s="106"/>
      <c r="Y31" s="106"/>
      <c r="Z31" s="106"/>
      <c r="AA31" s="106"/>
      <c r="AB31" s="106"/>
      <c r="AC31" s="106"/>
      <c r="AD31" s="106"/>
      <c r="AE31" s="106"/>
      <c r="AF31" s="106"/>
      <c r="AG31" s="106"/>
      <c r="AH31" s="106"/>
      <c r="AI31" s="106"/>
      <c r="AJ31" s="106"/>
      <c r="AK31" s="106"/>
      <c r="AL31" s="106"/>
      <c r="AM31" s="106"/>
      <c r="AN31" s="106"/>
      <c r="AO31" s="106"/>
      <c r="AP31" s="106"/>
      <c r="AQ31" s="106"/>
    </row>
    <row r="32" s="185" customFormat="1" ht="17.25" hidden="1" customHeight="1">
      <c r="A32" s="254"/>
      <c r="C32" s="185"/>
      <c r="D32" s="275"/>
      <c r="E32" s="276"/>
      <c r="F32" s="277"/>
      <c r="G32" s="276"/>
      <c r="H32" s="278"/>
      <c r="I32" s="279"/>
      <c r="J32" s="279"/>
      <c r="K32" s="279"/>
      <c r="L32" s="279"/>
      <c r="M32" s="279"/>
      <c r="N32" s="279"/>
      <c r="O32" s="279"/>
      <c r="P32" s="279"/>
      <c r="Q32" s="279"/>
      <c r="R32" s="279"/>
      <c r="S32" s="280"/>
      <c r="T32" s="280"/>
      <c r="U32" s="280"/>
      <c r="V32" s="280"/>
      <c r="W32" s="281"/>
      <c r="X32" s="106"/>
      <c r="Y32" s="106"/>
      <c r="Z32" s="106"/>
      <c r="AA32" s="106"/>
      <c r="AB32" s="106"/>
      <c r="AC32" s="106"/>
      <c r="AD32" s="106"/>
      <c r="AE32" s="106"/>
      <c r="AF32" s="106"/>
      <c r="AG32" s="106"/>
      <c r="AH32" s="106"/>
      <c r="AI32" s="106"/>
      <c r="AJ32" s="106"/>
      <c r="AK32" s="106"/>
      <c r="AL32" s="106"/>
      <c r="AM32" s="106"/>
      <c r="AN32" s="106"/>
      <c r="AO32" s="106"/>
      <c r="AP32" s="106"/>
      <c r="AQ32" s="106"/>
    </row>
    <row r="33" s="185" customFormat="1" ht="17.25" hidden="1" customHeight="1">
      <c r="A33" s="254"/>
      <c r="C33" s="127"/>
      <c r="D33" s="255">
        <v>5</v>
      </c>
      <c r="E33" s="256" t="s">
        <v>180</v>
      </c>
      <c r="F33" s="257" t="s">
        <v>54</v>
      </c>
      <c r="G33" s="256"/>
      <c r="H33" s="258"/>
      <c r="I33" s="259"/>
      <c r="J33" s="260"/>
      <c r="K33" s="261"/>
      <c r="L33" s="261"/>
      <c r="M33" s="261"/>
      <c r="N33" s="262"/>
      <c r="O33" s="261"/>
      <c r="P33" s="261"/>
      <c r="Q33" s="261"/>
      <c r="R33" s="263"/>
      <c r="S33" s="261"/>
      <c r="T33" s="261"/>
      <c r="U33" s="261"/>
      <c r="V33" s="263"/>
      <c r="W33" s="264"/>
      <c r="X33" s="265"/>
      <c r="Y33" s="265"/>
      <c r="Z33" s="265"/>
      <c r="AA33" s="265"/>
      <c r="AB33" s="265"/>
      <c r="AC33" s="265" t="s">
        <v>181</v>
      </c>
      <c r="AD33" s="265" t="s">
        <v>182</v>
      </c>
      <c r="AE33" s="265" t="s">
        <v>183</v>
      </c>
      <c r="AF33" s="265" t="s">
        <v>184</v>
      </c>
      <c r="AG33" s="265" t="s">
        <v>185</v>
      </c>
      <c r="AH33" s="265" t="str">
        <f>IF($E$33=0,"",$E$33)</f>
        <v xml:space="preserve">Тарифы на услуги по передаче тепловой энергии</v>
      </c>
      <c r="AI33" s="265" t="str">
        <f>IF($G$33=0,"",$G$33)</f>
        <v/>
      </c>
      <c r="AJ33" s="265" t="str">
        <f>IF($J$33=0,"",$J$33)</f>
        <v/>
      </c>
      <c r="AK33" s="265" t="str">
        <f>IF($K$33="нет","без дифференциации",IF($N$33=0,"",$N$33))</f>
        <v/>
      </c>
      <c r="AL33" s="265" t="str">
        <f>IF($O$33="нет","без дифференциации",IF($R$33=0,"",$R$33))</f>
        <v/>
      </c>
      <c r="AM33" s="265" t="str">
        <f>IF($S$33="нет","без дифференциации",IF($V$33=0,"",$V$33))</f>
        <v/>
      </c>
      <c r="AN33" s="282">
        <f>$I$33</f>
        <v>0</v>
      </c>
      <c r="AO33" s="265" t="str">
        <f>$I$33&amp;"."&amp;$M$33</f>
        <v>.</v>
      </c>
      <c r="AP33" s="106" t="str">
        <f>$I$33&amp;"."&amp;$M$33&amp;"."&amp;$Q$33</f>
        <v>..</v>
      </c>
      <c r="AQ33" s="106" t="str">
        <f>$I$33&amp;"."&amp;$M$33&amp;"."&amp;$Q$33&amp;"."&amp;$U$33</f>
        <v>...</v>
      </c>
    </row>
    <row r="34" s="185" customFormat="1" ht="17.25" hidden="1" customHeight="1">
      <c r="A34" s="254"/>
      <c r="C34" s="185"/>
      <c r="D34" s="255"/>
      <c r="E34" s="256"/>
      <c r="F34" s="266"/>
      <c r="G34" s="256"/>
      <c r="H34" s="267"/>
      <c r="I34" s="268"/>
      <c r="J34" s="269"/>
      <c r="K34" s="124"/>
      <c r="L34" s="124"/>
      <c r="M34" s="124"/>
      <c r="N34" s="270"/>
      <c r="O34" s="124"/>
      <c r="P34" s="124"/>
      <c r="Q34" s="124"/>
      <c r="R34" s="271"/>
      <c r="S34" s="124"/>
      <c r="T34" s="272"/>
      <c r="U34" s="272"/>
      <c r="V34" s="272"/>
      <c r="W34" s="273"/>
      <c r="X34" s="106"/>
      <c r="Y34" s="106"/>
      <c r="Z34" s="106"/>
      <c r="AA34" s="106"/>
      <c r="AB34" s="106"/>
      <c r="AC34" s="106"/>
      <c r="AD34" s="106"/>
      <c r="AE34" s="106"/>
      <c r="AF34" s="106"/>
      <c r="AG34" s="106"/>
      <c r="AH34" s="106"/>
      <c r="AI34" s="106"/>
      <c r="AJ34" s="106"/>
      <c r="AK34" s="106"/>
      <c r="AL34" s="106"/>
      <c r="AM34" s="106"/>
      <c r="AN34" s="106"/>
      <c r="AO34" s="106"/>
      <c r="AP34" s="106"/>
      <c r="AQ34" s="106"/>
    </row>
    <row r="35" s="185" customFormat="1" ht="17.25" hidden="1" customHeight="1">
      <c r="A35" s="254"/>
      <c r="C35" s="185"/>
      <c r="D35" s="275"/>
      <c r="E35" s="276"/>
      <c r="F35" s="266"/>
      <c r="G35" s="276"/>
      <c r="H35" s="267"/>
      <c r="I35" s="268"/>
      <c r="J35" s="274"/>
      <c r="K35" s="124"/>
      <c r="L35" s="124"/>
      <c r="M35" s="124"/>
      <c r="N35" s="271"/>
      <c r="O35" s="124"/>
      <c r="P35" s="124"/>
      <c r="Q35" s="272"/>
      <c r="R35" s="272"/>
      <c r="S35" s="185"/>
      <c r="T35" s="185"/>
      <c r="U35" s="185"/>
      <c r="V35" s="185"/>
      <c r="W35" s="273"/>
      <c r="X35" s="106"/>
      <c r="Y35" s="106"/>
      <c r="Z35" s="106"/>
      <c r="AA35" s="106"/>
      <c r="AB35" s="106"/>
      <c r="AC35" s="106"/>
      <c r="AD35" s="106"/>
      <c r="AE35" s="106"/>
      <c r="AF35" s="106"/>
      <c r="AG35" s="106"/>
      <c r="AH35" s="106"/>
      <c r="AI35" s="106"/>
      <c r="AJ35" s="106"/>
      <c r="AK35" s="106"/>
      <c r="AL35" s="106"/>
      <c r="AM35" s="106"/>
      <c r="AN35" s="106"/>
      <c r="AO35" s="106"/>
      <c r="AP35" s="106"/>
      <c r="AQ35" s="106"/>
    </row>
    <row r="36" s="185" customFormat="1" ht="17.25" hidden="1" customHeight="1">
      <c r="A36" s="254"/>
      <c r="C36" s="185"/>
      <c r="D36" s="275"/>
      <c r="E36" s="276"/>
      <c r="F36" s="266"/>
      <c r="G36" s="276"/>
      <c r="H36" s="267"/>
      <c r="I36" s="268"/>
      <c r="J36" s="274"/>
      <c r="K36" s="124"/>
      <c r="L36" s="272"/>
      <c r="M36" s="272"/>
      <c r="N36" s="272"/>
      <c r="O36" s="272"/>
      <c r="P36" s="272"/>
      <c r="Q36" s="272"/>
      <c r="R36" s="272"/>
      <c r="S36" s="185"/>
      <c r="T36" s="185"/>
      <c r="U36" s="185"/>
      <c r="V36" s="185"/>
      <c r="W36" s="273"/>
      <c r="X36" s="106"/>
      <c r="Y36" s="106"/>
      <c r="Z36" s="106"/>
      <c r="AA36" s="106"/>
      <c r="AB36" s="106"/>
      <c r="AC36" s="106"/>
      <c r="AD36" s="106"/>
      <c r="AE36" s="106"/>
      <c r="AF36" s="106"/>
      <c r="AG36" s="106"/>
      <c r="AH36" s="106"/>
      <c r="AI36" s="106"/>
      <c r="AJ36" s="106"/>
      <c r="AK36" s="106"/>
      <c r="AL36" s="106"/>
      <c r="AM36" s="106"/>
      <c r="AN36" s="106"/>
      <c r="AO36" s="106"/>
      <c r="AP36" s="106"/>
      <c r="AQ36" s="106"/>
    </row>
    <row r="37" s="185" customFormat="1" ht="17.25" hidden="1" customHeight="1">
      <c r="A37" s="254"/>
      <c r="C37" s="185"/>
      <c r="D37" s="275"/>
      <c r="E37" s="276"/>
      <c r="F37" s="277"/>
      <c r="G37" s="276"/>
      <c r="H37" s="278"/>
      <c r="I37" s="279"/>
      <c r="J37" s="279"/>
      <c r="K37" s="279"/>
      <c r="L37" s="279"/>
      <c r="M37" s="279"/>
      <c r="N37" s="279"/>
      <c r="O37" s="279"/>
      <c r="P37" s="279"/>
      <c r="Q37" s="279"/>
      <c r="R37" s="279"/>
      <c r="S37" s="280"/>
      <c r="T37" s="280"/>
      <c r="U37" s="280"/>
      <c r="V37" s="280"/>
      <c r="W37" s="281"/>
      <c r="X37" s="106"/>
      <c r="Y37" s="106"/>
      <c r="Z37" s="106"/>
      <c r="AA37" s="106"/>
      <c r="AB37" s="106"/>
      <c r="AC37" s="106"/>
      <c r="AD37" s="106"/>
      <c r="AE37" s="106"/>
      <c r="AF37" s="106"/>
      <c r="AG37" s="106"/>
      <c r="AH37" s="106"/>
      <c r="AI37" s="106"/>
      <c r="AJ37" s="106"/>
      <c r="AK37" s="106"/>
      <c r="AL37" s="106"/>
      <c r="AM37" s="106"/>
      <c r="AN37" s="106"/>
      <c r="AO37" s="106"/>
      <c r="AP37" s="106"/>
      <c r="AQ37" s="106"/>
    </row>
    <row r="38" s="185" customFormat="1" ht="17.25" hidden="1" customHeight="1">
      <c r="A38" s="254"/>
      <c r="C38" s="127"/>
      <c r="D38" s="255">
        <v>6</v>
      </c>
      <c r="E38" s="256" t="s">
        <v>186</v>
      </c>
      <c r="F38" s="257" t="s">
        <v>54</v>
      </c>
      <c r="G38" s="256"/>
      <c r="H38" s="258"/>
      <c r="I38" s="259"/>
      <c r="J38" s="260"/>
      <c r="K38" s="261"/>
      <c r="L38" s="261"/>
      <c r="M38" s="261"/>
      <c r="N38" s="262"/>
      <c r="O38" s="261"/>
      <c r="P38" s="261"/>
      <c r="Q38" s="261"/>
      <c r="R38" s="263"/>
      <c r="S38" s="261"/>
      <c r="T38" s="261"/>
      <c r="U38" s="261"/>
      <c r="V38" s="263"/>
      <c r="W38" s="264"/>
      <c r="X38" s="265"/>
      <c r="Y38" s="265"/>
      <c r="Z38" s="265"/>
      <c r="AA38" s="265"/>
      <c r="AB38" s="265"/>
      <c r="AC38" s="265" t="s">
        <v>187</v>
      </c>
      <c r="AD38" s="265" t="s">
        <v>188</v>
      </c>
      <c r="AE38" s="265" t="s">
        <v>189</v>
      </c>
      <c r="AF38" s="265" t="s">
        <v>190</v>
      </c>
      <c r="AG38" s="265" t="s">
        <v>191</v>
      </c>
      <c r="AH38" s="265" t="str">
        <f>IF($E$38=0,"",$E$38)</f>
        <v xml:space="preserve">Тарифы на услуги по передаче теплоносителя</v>
      </c>
      <c r="AI38" s="265" t="str">
        <f>IF($G$38=0,"",$G$38)</f>
        <v/>
      </c>
      <c r="AJ38" s="265" t="str">
        <f>IF($J$38=0,"",$J$38)</f>
        <v/>
      </c>
      <c r="AK38" s="265" t="str">
        <f>IF($K$38="нет","без дифференциации",IF($N$38=0,"",$N$38))</f>
        <v/>
      </c>
      <c r="AL38" s="265" t="str">
        <f>IF($O$38="нет","без дифференциации",IF($R$38=0,"",$R$38))</f>
        <v/>
      </c>
      <c r="AM38" s="265" t="str">
        <f>IF($S$38="нет","без дифференциации",IF($V$38=0,"",$V$38))</f>
        <v/>
      </c>
      <c r="AN38" s="282">
        <f>$I$38</f>
        <v>0</v>
      </c>
      <c r="AO38" s="265" t="str">
        <f>$I$38&amp;"."&amp;$M$38</f>
        <v>.</v>
      </c>
      <c r="AP38" s="106" t="str">
        <f>$I$38&amp;"."&amp;$M$38&amp;"."&amp;$Q$38</f>
        <v>..</v>
      </c>
      <c r="AQ38" s="106" t="str">
        <f>$I$38&amp;"."&amp;$M$38&amp;"."&amp;$Q$38&amp;"."&amp;$U$38</f>
        <v>...</v>
      </c>
    </row>
    <row r="39" s="185" customFormat="1" ht="17.25" hidden="1" customHeight="1">
      <c r="A39" s="254"/>
      <c r="C39" s="185"/>
      <c r="D39" s="255"/>
      <c r="E39" s="256"/>
      <c r="F39" s="266"/>
      <c r="G39" s="256"/>
      <c r="H39" s="267"/>
      <c r="I39" s="268"/>
      <c r="J39" s="269"/>
      <c r="K39" s="124"/>
      <c r="L39" s="124"/>
      <c r="M39" s="124"/>
      <c r="N39" s="270"/>
      <c r="O39" s="124"/>
      <c r="P39" s="124"/>
      <c r="Q39" s="124"/>
      <c r="R39" s="271"/>
      <c r="S39" s="124"/>
      <c r="T39" s="272"/>
      <c r="U39" s="272"/>
      <c r="V39" s="272"/>
      <c r="W39" s="273"/>
      <c r="X39" s="106"/>
      <c r="Y39" s="106"/>
      <c r="Z39" s="106"/>
      <c r="AA39" s="106"/>
      <c r="AB39" s="106"/>
      <c r="AC39" s="106"/>
      <c r="AD39" s="106"/>
      <c r="AE39" s="106"/>
      <c r="AF39" s="106"/>
      <c r="AG39" s="106"/>
      <c r="AH39" s="106"/>
      <c r="AI39" s="106"/>
      <c r="AJ39" s="106"/>
      <c r="AK39" s="106"/>
      <c r="AL39" s="106"/>
      <c r="AM39" s="106"/>
      <c r="AN39" s="106"/>
      <c r="AO39" s="106"/>
      <c r="AP39" s="106"/>
      <c r="AQ39" s="106"/>
    </row>
    <row r="40" s="185" customFormat="1" ht="17.25" hidden="1" customHeight="1">
      <c r="A40" s="254"/>
      <c r="C40" s="185"/>
      <c r="D40" s="275"/>
      <c r="E40" s="276"/>
      <c r="F40" s="266"/>
      <c r="G40" s="276"/>
      <c r="H40" s="267"/>
      <c r="I40" s="268"/>
      <c r="J40" s="274"/>
      <c r="K40" s="124"/>
      <c r="L40" s="124"/>
      <c r="M40" s="124"/>
      <c r="N40" s="271"/>
      <c r="O40" s="124"/>
      <c r="P40" s="124"/>
      <c r="Q40" s="272"/>
      <c r="R40" s="272"/>
      <c r="S40" s="185"/>
      <c r="T40" s="185"/>
      <c r="U40" s="185"/>
      <c r="V40" s="185"/>
      <c r="W40" s="273"/>
      <c r="X40" s="106"/>
      <c r="Y40" s="106"/>
      <c r="Z40" s="106"/>
      <c r="AA40" s="106"/>
      <c r="AB40" s="106"/>
      <c r="AC40" s="106"/>
      <c r="AD40" s="106"/>
      <c r="AE40" s="106"/>
      <c r="AF40" s="106"/>
      <c r="AG40" s="106"/>
      <c r="AH40" s="106"/>
      <c r="AI40" s="106"/>
      <c r="AJ40" s="106"/>
      <c r="AK40" s="106"/>
      <c r="AL40" s="106"/>
      <c r="AM40" s="106"/>
      <c r="AN40" s="106"/>
      <c r="AO40" s="106"/>
      <c r="AP40" s="106"/>
      <c r="AQ40" s="106"/>
    </row>
    <row r="41" s="185" customFormat="1" ht="17.25" hidden="1" customHeight="1">
      <c r="A41" s="254"/>
      <c r="C41" s="127"/>
      <c r="D41" s="275"/>
      <c r="E41" s="276"/>
      <c r="F41" s="266"/>
      <c r="G41" s="276"/>
      <c r="H41" s="267"/>
      <c r="I41" s="268"/>
      <c r="J41" s="274"/>
      <c r="K41" s="124"/>
      <c r="L41" s="272"/>
      <c r="M41" s="272"/>
      <c r="N41" s="272"/>
      <c r="O41" s="272"/>
      <c r="P41" s="272"/>
      <c r="Q41" s="272"/>
      <c r="R41" s="272"/>
      <c r="S41" s="185"/>
      <c r="T41" s="185"/>
      <c r="U41" s="185"/>
      <c r="V41" s="185"/>
      <c r="W41" s="273"/>
      <c r="Y41" s="265"/>
      <c r="Z41" s="265"/>
      <c r="AA41" s="265"/>
      <c r="AB41" s="265"/>
      <c r="AC41" s="265"/>
      <c r="AD41" s="265"/>
      <c r="AE41" s="265"/>
      <c r="AF41" s="265"/>
      <c r="AG41" s="265"/>
      <c r="AH41" s="265"/>
      <c r="AI41" s="265"/>
      <c r="AJ41" s="265"/>
      <c r="AK41" s="265"/>
      <c r="AL41" s="265"/>
      <c r="AM41" s="265"/>
      <c r="AN41" s="265"/>
      <c r="AO41" s="265"/>
      <c r="AP41" s="265"/>
      <c r="AQ41" s="265"/>
    </row>
    <row r="42" s="185" customFormat="1" ht="17.25" hidden="1" customHeight="1">
      <c r="A42" s="254"/>
      <c r="C42" s="185"/>
      <c r="D42" s="275"/>
      <c r="E42" s="276"/>
      <c r="F42" s="277"/>
      <c r="G42" s="276"/>
      <c r="H42" s="278"/>
      <c r="I42" s="279"/>
      <c r="J42" s="279"/>
      <c r="K42" s="279"/>
      <c r="L42" s="279"/>
      <c r="M42" s="279"/>
      <c r="N42" s="279"/>
      <c r="O42" s="279"/>
      <c r="P42" s="279"/>
      <c r="Q42" s="279"/>
      <c r="R42" s="279"/>
      <c r="S42" s="280"/>
      <c r="T42" s="280"/>
      <c r="U42" s="280"/>
      <c r="V42" s="280"/>
      <c r="W42" s="281"/>
      <c r="X42" s="106"/>
      <c r="Y42" s="106"/>
      <c r="Z42" s="106"/>
      <c r="AA42" s="106"/>
      <c r="AB42" s="106"/>
      <c r="AC42" s="106"/>
      <c r="AD42" s="106"/>
      <c r="AE42" s="106"/>
      <c r="AF42" s="106"/>
      <c r="AG42" s="106"/>
      <c r="AH42" s="106"/>
      <c r="AI42" s="106"/>
      <c r="AJ42" s="106"/>
      <c r="AK42" s="106"/>
      <c r="AL42" s="106"/>
      <c r="AM42" s="106"/>
      <c r="AN42" s="106"/>
      <c r="AO42" s="106"/>
      <c r="AP42" s="106"/>
      <c r="AQ42" s="106"/>
    </row>
    <row r="43" s="185" customFormat="1" ht="17.25" hidden="1" customHeight="1">
      <c r="A43" s="254"/>
      <c r="C43" s="127"/>
      <c r="D43" s="283">
        <v>7</v>
      </c>
      <c r="E43" s="284" t="s">
        <v>192</v>
      </c>
      <c r="F43" s="257" t="s">
        <v>54</v>
      </c>
      <c r="G43" s="284"/>
      <c r="H43" s="258"/>
      <c r="I43" s="259"/>
      <c r="J43" s="260"/>
      <c r="K43" s="261"/>
      <c r="L43" s="261"/>
      <c r="M43" s="261"/>
      <c r="N43" s="262"/>
      <c r="O43" s="261"/>
      <c r="P43" s="261"/>
      <c r="Q43" s="261"/>
      <c r="R43" s="263"/>
      <c r="S43" s="261"/>
      <c r="T43" s="261"/>
      <c r="U43" s="261"/>
      <c r="V43" s="263"/>
      <c r="W43" s="264"/>
      <c r="X43" s="265"/>
      <c r="Y43" s="265"/>
      <c r="Z43" s="265"/>
      <c r="AA43" s="265"/>
      <c r="AB43" s="265"/>
      <c r="AC43" s="265" t="s">
        <v>193</v>
      </c>
      <c r="AD43" s="265" t="s">
        <v>194</v>
      </c>
      <c r="AE43" s="265" t="s">
        <v>195</v>
      </c>
      <c r="AF43" s="265" t="s">
        <v>196</v>
      </c>
      <c r="AG43" s="265" t="s">
        <v>197</v>
      </c>
      <c r="AH43" s="265" t="str">
        <f>IF($E$43=0,"",$E$43)</f>
        <v xml:space="preserve">Плата за услуги по поддержанию резервной тепловой мощности при отсутствии потребления тепловой энергии</v>
      </c>
      <c r="AI43" s="265" t="str">
        <f>IF($G$43=0,"",$G$43)</f>
        <v/>
      </c>
      <c r="AJ43" s="265" t="str">
        <f>IF($J$43=0,"",$J$43)</f>
        <v/>
      </c>
      <c r="AK43" s="265" t="str">
        <f>IF($K$43="нет","без дифференциации",IF($N$43=0,"",$N$43))</f>
        <v/>
      </c>
      <c r="AL43" s="265" t="str">
        <f>IF($O$43="нет","без дифференциации",IF($R$43=0,"",$R$43))</f>
        <v/>
      </c>
      <c r="AM43" s="265" t="str">
        <f>IF($S$43="нет","без дифференциации",IF($V$43=0,"",$V$43))</f>
        <v/>
      </c>
      <c r="AN43" s="282">
        <f>$I$43</f>
        <v>0</v>
      </c>
      <c r="AO43" s="265" t="str">
        <f>$I$43&amp;"."&amp;$M$43</f>
        <v>.</v>
      </c>
      <c r="AP43" s="106" t="str">
        <f>$I$43&amp;"."&amp;$M$43&amp;"."&amp;$Q$43</f>
        <v>..</v>
      </c>
      <c r="AQ43" s="106" t="str">
        <f>$I$43&amp;"."&amp;$M$43&amp;"."&amp;$Q$43&amp;"."&amp;$U$43</f>
        <v>...</v>
      </c>
    </row>
    <row r="44" s="185" customFormat="1" ht="17.25" hidden="1" customHeight="1">
      <c r="A44" s="254"/>
      <c r="C44" s="185"/>
      <c r="D44" s="285"/>
      <c r="E44" s="286"/>
      <c r="F44" s="266"/>
      <c r="G44" s="286"/>
      <c r="H44" s="267"/>
      <c r="I44" s="268"/>
      <c r="J44" s="269"/>
      <c r="K44" s="124"/>
      <c r="L44" s="124"/>
      <c r="M44" s="124"/>
      <c r="N44" s="270"/>
      <c r="O44" s="124"/>
      <c r="P44" s="124"/>
      <c r="Q44" s="124"/>
      <c r="R44" s="271"/>
      <c r="S44" s="124"/>
      <c r="T44" s="272"/>
      <c r="U44" s="272"/>
      <c r="V44" s="272"/>
      <c r="W44" s="273"/>
      <c r="X44" s="106"/>
      <c r="Y44" s="106"/>
      <c r="Z44" s="106"/>
      <c r="AA44" s="106"/>
      <c r="AB44" s="106"/>
      <c r="AC44" s="106"/>
      <c r="AD44" s="106"/>
      <c r="AE44" s="106"/>
      <c r="AF44" s="106"/>
      <c r="AG44" s="106"/>
      <c r="AH44" s="106"/>
      <c r="AI44" s="106"/>
      <c r="AJ44" s="106"/>
      <c r="AK44" s="106"/>
      <c r="AL44" s="106"/>
      <c r="AM44" s="106"/>
      <c r="AN44" s="106"/>
      <c r="AO44" s="106"/>
      <c r="AP44" s="106"/>
      <c r="AQ44" s="106"/>
    </row>
    <row r="45" s="185" customFormat="1" ht="17.25" hidden="1" customHeight="1">
      <c r="A45" s="254"/>
      <c r="C45" s="185"/>
      <c r="D45" s="285"/>
      <c r="E45" s="286"/>
      <c r="F45" s="266"/>
      <c r="G45" s="286"/>
      <c r="H45" s="267"/>
      <c r="I45" s="268"/>
      <c r="J45" s="274"/>
      <c r="K45" s="124"/>
      <c r="L45" s="124"/>
      <c r="M45" s="124"/>
      <c r="N45" s="271"/>
      <c r="O45" s="124"/>
      <c r="P45" s="124"/>
      <c r="Q45" s="272"/>
      <c r="R45" s="272"/>
      <c r="S45" s="185"/>
      <c r="T45" s="185"/>
      <c r="U45" s="185"/>
      <c r="V45" s="185"/>
      <c r="W45" s="273"/>
      <c r="X45" s="106"/>
      <c r="Y45" s="106"/>
      <c r="Z45" s="106"/>
      <c r="AA45" s="106"/>
      <c r="AB45" s="106"/>
      <c r="AC45" s="106"/>
      <c r="AD45" s="106"/>
      <c r="AE45" s="106"/>
      <c r="AF45" s="106"/>
      <c r="AG45" s="106"/>
      <c r="AH45" s="106"/>
      <c r="AI45" s="106"/>
      <c r="AJ45" s="106"/>
      <c r="AK45" s="106"/>
      <c r="AL45" s="106"/>
      <c r="AM45" s="106"/>
      <c r="AN45" s="106"/>
      <c r="AO45" s="106"/>
      <c r="AP45" s="106"/>
      <c r="AQ45" s="106"/>
    </row>
    <row r="46" s="185" customFormat="1" ht="17.25" hidden="1" customHeight="1">
      <c r="A46" s="254"/>
      <c r="C46" s="127"/>
      <c r="D46" s="285"/>
      <c r="E46" s="286"/>
      <c r="F46" s="266"/>
      <c r="G46" s="286"/>
      <c r="H46" s="267"/>
      <c r="I46" s="268"/>
      <c r="J46" s="274"/>
      <c r="K46" s="124"/>
      <c r="L46" s="272"/>
      <c r="M46" s="272"/>
      <c r="N46" s="272"/>
      <c r="O46" s="272"/>
      <c r="P46" s="272"/>
      <c r="Q46" s="272"/>
      <c r="R46" s="272"/>
      <c r="S46" s="185"/>
      <c r="T46" s="185"/>
      <c r="U46" s="185"/>
      <c r="V46" s="185"/>
      <c r="W46" s="273"/>
      <c r="Y46" s="265"/>
      <c r="Z46" s="265"/>
      <c r="AA46" s="265"/>
      <c r="AB46" s="265"/>
      <c r="AC46" s="265"/>
      <c r="AD46" s="265"/>
      <c r="AE46" s="265"/>
      <c r="AF46" s="265"/>
      <c r="AG46" s="265"/>
      <c r="AH46" s="265"/>
      <c r="AI46" s="265"/>
      <c r="AJ46" s="265"/>
      <c r="AK46" s="265"/>
      <c r="AL46" s="265"/>
      <c r="AM46" s="265"/>
      <c r="AN46" s="265"/>
      <c r="AO46" s="265"/>
      <c r="AP46" s="265"/>
      <c r="AQ46" s="265"/>
    </row>
    <row r="47" s="185" customFormat="1" ht="17.25" hidden="1" customHeight="1">
      <c r="A47" s="254"/>
      <c r="C47" s="185"/>
      <c r="D47" s="287"/>
      <c r="E47" s="288"/>
      <c r="F47" s="277"/>
      <c r="G47" s="288"/>
      <c r="H47" s="278"/>
      <c r="I47" s="279"/>
      <c r="J47" s="279"/>
      <c r="K47" s="279"/>
      <c r="L47" s="279"/>
      <c r="M47" s="279"/>
      <c r="N47" s="279"/>
      <c r="O47" s="279"/>
      <c r="P47" s="279"/>
      <c r="Q47" s="279"/>
      <c r="R47" s="279"/>
      <c r="S47" s="280"/>
      <c r="T47" s="280"/>
      <c r="U47" s="280"/>
      <c r="V47" s="280"/>
      <c r="W47" s="281"/>
      <c r="X47" s="106"/>
      <c r="Y47" s="106"/>
      <c r="Z47" s="106"/>
      <c r="AA47" s="106"/>
      <c r="AB47" s="106"/>
      <c r="AC47" s="106"/>
      <c r="AD47" s="106"/>
      <c r="AE47" s="106"/>
      <c r="AF47" s="106"/>
      <c r="AG47" s="106"/>
      <c r="AH47" s="106"/>
      <c r="AI47" s="106"/>
      <c r="AJ47" s="106"/>
      <c r="AK47" s="106"/>
      <c r="AL47" s="106"/>
      <c r="AM47" s="106"/>
      <c r="AN47" s="106"/>
      <c r="AO47" s="106"/>
      <c r="AP47" s="106"/>
      <c r="AQ47" s="106"/>
    </row>
    <row r="48" s="185" customFormat="1" ht="17.25" hidden="1" customHeight="1">
      <c r="A48" s="254"/>
      <c r="C48" s="127"/>
      <c r="D48" s="255">
        <v>8</v>
      </c>
      <c r="E48" s="256" t="s">
        <v>198</v>
      </c>
      <c r="F48" s="257" t="s">
        <v>54</v>
      </c>
      <c r="G48" s="256"/>
      <c r="H48" s="258"/>
      <c r="I48" s="259"/>
      <c r="J48" s="260"/>
      <c r="K48" s="261"/>
      <c r="L48" s="261"/>
      <c r="M48" s="261"/>
      <c r="N48" s="262"/>
      <c r="O48" s="261"/>
      <c r="P48" s="261"/>
      <c r="Q48" s="261"/>
      <c r="R48" s="263"/>
      <c r="S48" s="261"/>
      <c r="T48" s="261"/>
      <c r="U48" s="261"/>
      <c r="V48" s="263"/>
      <c r="W48" s="264"/>
      <c r="X48" s="265"/>
      <c r="Y48" s="265"/>
      <c r="Z48" s="265"/>
      <c r="AA48" s="265"/>
      <c r="AB48" s="265"/>
      <c r="AC48" s="265" t="s">
        <v>199</v>
      </c>
      <c r="AD48" s="265" t="s">
        <v>200</v>
      </c>
      <c r="AE48" s="265" t="s">
        <v>201</v>
      </c>
      <c r="AF48" s="265" t="s">
        <v>202</v>
      </c>
      <c r="AG48" s="265" t="s">
        <v>203</v>
      </c>
      <c r="AH48" s="265" t="str">
        <f>IF($E$48=0,"",$E$48)</f>
        <v xml:space="preserve">Плата за подключение (технологическое присоединение) к системе теплоснабжения</v>
      </c>
      <c r="AI48" s="265" t="str">
        <f>IF($G$48=0,"",$G$48)</f>
        <v/>
      </c>
      <c r="AJ48" s="265" t="str">
        <f>IF($J$48=0,"",$J$48)</f>
        <v/>
      </c>
      <c r="AK48" s="265" t="str">
        <f>IF($K$48="нет","без дифференциации",IF($N$48=0,"",$N$48))</f>
        <v/>
      </c>
      <c r="AL48" s="265" t="str">
        <f>IF($O$48="нет","без дифференциации",IF($R$48=0,"",$R$48))</f>
        <v/>
      </c>
      <c r="AM48" s="265" t="str">
        <f>IF($S$48="нет","без дифференциации",IF($V$48=0,"",$V$48))</f>
        <v/>
      </c>
      <c r="AN48" s="282">
        <f>$I$48</f>
        <v>0</v>
      </c>
      <c r="AO48" s="265" t="str">
        <f>$I$48&amp;"."&amp;$M$48</f>
        <v>.</v>
      </c>
      <c r="AP48" s="106" t="str">
        <f>$I$48&amp;"."&amp;$M$48&amp;"."&amp;$Q$48</f>
        <v>..</v>
      </c>
      <c r="AQ48" s="106" t="str">
        <f>$I$48&amp;"."&amp;$M$48&amp;"."&amp;$Q$48&amp;"."&amp;$U$48</f>
        <v>...</v>
      </c>
    </row>
    <row r="49" s="185" customFormat="1" ht="17.25" hidden="1" customHeight="1">
      <c r="A49" s="254"/>
      <c r="C49" s="185"/>
      <c r="D49" s="255"/>
      <c r="E49" s="256"/>
      <c r="F49" s="266"/>
      <c r="G49" s="256"/>
      <c r="H49" s="267"/>
      <c r="I49" s="268"/>
      <c r="J49" s="269"/>
      <c r="K49" s="124"/>
      <c r="L49" s="124"/>
      <c r="M49" s="124"/>
      <c r="N49" s="270"/>
      <c r="O49" s="124"/>
      <c r="P49" s="124"/>
      <c r="Q49" s="124"/>
      <c r="R49" s="271"/>
      <c r="S49" s="124"/>
      <c r="T49" s="272"/>
      <c r="U49" s="272"/>
      <c r="V49" s="272"/>
      <c r="W49" s="273"/>
      <c r="X49" s="106"/>
      <c r="Y49" s="106"/>
      <c r="Z49" s="106"/>
      <c r="AA49" s="106"/>
      <c r="AB49" s="106"/>
      <c r="AC49" s="106"/>
      <c r="AD49" s="106"/>
      <c r="AE49" s="106"/>
      <c r="AF49" s="106"/>
      <c r="AG49" s="106"/>
      <c r="AH49" s="106"/>
      <c r="AI49" s="106"/>
      <c r="AJ49" s="106"/>
      <c r="AK49" s="106"/>
      <c r="AL49" s="106"/>
      <c r="AM49" s="106"/>
      <c r="AN49" s="106"/>
      <c r="AO49" s="106"/>
      <c r="AP49" s="106"/>
      <c r="AQ49" s="106"/>
    </row>
    <row r="50" s="185" customFormat="1" ht="17.25" hidden="1" customHeight="1">
      <c r="A50" s="254"/>
      <c r="C50" s="185"/>
      <c r="D50" s="275"/>
      <c r="E50" s="276"/>
      <c r="F50" s="266"/>
      <c r="G50" s="276"/>
      <c r="H50" s="267"/>
      <c r="I50" s="268"/>
      <c r="J50" s="274"/>
      <c r="K50" s="124"/>
      <c r="L50" s="124"/>
      <c r="M50" s="124"/>
      <c r="N50" s="271"/>
      <c r="O50" s="124"/>
      <c r="P50" s="124"/>
      <c r="Q50" s="272"/>
      <c r="R50" s="272"/>
      <c r="S50" s="185"/>
      <c r="T50" s="185"/>
      <c r="U50" s="185"/>
      <c r="V50" s="185"/>
      <c r="W50" s="273"/>
      <c r="X50" s="106"/>
      <c r="Y50" s="106"/>
      <c r="Z50" s="106"/>
      <c r="AA50" s="106"/>
      <c r="AB50" s="106"/>
      <c r="AC50" s="106"/>
      <c r="AD50" s="106"/>
      <c r="AE50" s="106"/>
      <c r="AF50" s="106"/>
      <c r="AG50" s="106"/>
      <c r="AH50" s="106"/>
      <c r="AI50" s="106"/>
      <c r="AJ50" s="106"/>
      <c r="AK50" s="106"/>
      <c r="AL50" s="106"/>
      <c r="AM50" s="106"/>
      <c r="AN50" s="106"/>
      <c r="AO50" s="106"/>
      <c r="AP50" s="106"/>
      <c r="AQ50" s="106"/>
    </row>
    <row r="51" s="185" customFormat="1" ht="17.25" hidden="1" customHeight="1">
      <c r="A51" s="254"/>
      <c r="C51" s="127"/>
      <c r="D51" s="275"/>
      <c r="E51" s="276"/>
      <c r="F51" s="266"/>
      <c r="G51" s="276"/>
      <c r="H51" s="267"/>
      <c r="I51" s="268"/>
      <c r="J51" s="274"/>
      <c r="K51" s="124"/>
      <c r="L51" s="272"/>
      <c r="M51" s="272"/>
      <c r="N51" s="272"/>
      <c r="O51" s="272"/>
      <c r="P51" s="272"/>
      <c r="Q51" s="272"/>
      <c r="R51" s="272"/>
      <c r="S51" s="185"/>
      <c r="T51" s="185"/>
      <c r="U51" s="185"/>
      <c r="V51" s="185"/>
      <c r="W51" s="273"/>
      <c r="Y51" s="265"/>
      <c r="Z51" s="265"/>
      <c r="AA51" s="265"/>
      <c r="AB51" s="265"/>
      <c r="AC51" s="265"/>
      <c r="AD51" s="265"/>
      <c r="AE51" s="265"/>
      <c r="AF51" s="265"/>
      <c r="AG51" s="265"/>
      <c r="AH51" s="265"/>
      <c r="AI51" s="265"/>
      <c r="AJ51" s="265"/>
      <c r="AK51" s="265"/>
      <c r="AL51" s="265"/>
      <c r="AM51" s="265"/>
      <c r="AN51" s="265"/>
      <c r="AO51" s="265"/>
      <c r="AP51" s="265"/>
      <c r="AQ51" s="265"/>
    </row>
    <row r="52" s="185" customFormat="1" ht="17.25" hidden="1" customHeight="1">
      <c r="A52" s="254"/>
      <c r="C52" s="185"/>
      <c r="D52" s="275"/>
      <c r="E52" s="276"/>
      <c r="F52" s="277"/>
      <c r="G52" s="276"/>
      <c r="H52" s="278"/>
      <c r="I52" s="279"/>
      <c r="J52" s="279"/>
      <c r="K52" s="279"/>
      <c r="L52" s="279"/>
      <c r="M52" s="279"/>
      <c r="N52" s="279"/>
      <c r="O52" s="279"/>
      <c r="P52" s="279"/>
      <c r="Q52" s="279"/>
      <c r="R52" s="279"/>
      <c r="S52" s="280"/>
      <c r="T52" s="280"/>
      <c r="U52" s="280"/>
      <c r="V52" s="280"/>
      <c r="W52" s="281"/>
      <c r="X52" s="106"/>
      <c r="Y52" s="106"/>
      <c r="Z52" s="106"/>
      <c r="AA52" s="106"/>
      <c r="AB52" s="106"/>
      <c r="AC52" s="106"/>
      <c r="AD52" s="106"/>
      <c r="AE52" s="106"/>
      <c r="AF52" s="106"/>
      <c r="AG52" s="106"/>
      <c r="AH52" s="106"/>
      <c r="AI52" s="106"/>
      <c r="AJ52" s="106"/>
      <c r="AK52" s="106"/>
      <c r="AL52" s="106"/>
      <c r="AM52" s="106"/>
      <c r="AN52" s="106"/>
      <c r="AO52" s="106"/>
      <c r="AP52" s="106"/>
      <c r="AQ52" s="106"/>
    </row>
    <row r="53" ht="11.25" hidden="1" customHeight="1"/>
    <row r="54" ht="11.25" hidden="1" customHeight="1">
      <c r="E54" s="289" t="s">
        <v>204</v>
      </c>
      <c r="F54" s="289"/>
      <c r="G54" s="289"/>
      <c r="H54" s="289"/>
      <c r="I54" s="289"/>
      <c r="J54" s="289"/>
      <c r="K54" s="289"/>
      <c r="L54" s="289"/>
      <c r="M54" s="289"/>
      <c r="N54" s="289"/>
      <c r="O54" s="289"/>
      <c r="P54" s="289"/>
      <c r="Q54" s="289"/>
      <c r="R54" s="289"/>
      <c r="S54" s="289"/>
      <c r="T54" s="289"/>
      <c r="U54" s="289"/>
      <c r="V54" s="289"/>
      <c r="W54" s="289"/>
    </row>
    <row r="55" ht="36.75" hidden="1" customHeight="1">
      <c r="E55" s="290" t="s">
        <v>205</v>
      </c>
      <c r="F55" s="290"/>
      <c r="G55" s="291"/>
      <c r="H55" s="291"/>
      <c r="I55" s="291"/>
      <c r="J55" s="291"/>
      <c r="K55" s="291"/>
      <c r="L55" s="291"/>
      <c r="M55" s="291"/>
      <c r="N55" s="291"/>
      <c r="O55" s="291"/>
      <c r="P55" s="291"/>
      <c r="Q55" s="291"/>
      <c r="R55" s="291"/>
      <c r="S55" s="291"/>
      <c r="T55" s="291"/>
      <c r="U55" s="291"/>
      <c r="V55" s="291"/>
      <c r="W55" s="291"/>
    </row>
    <row r="56" ht="28.5" hidden="1" customHeight="1">
      <c r="E56" s="290" t="s">
        <v>206</v>
      </c>
      <c r="F56" s="290"/>
      <c r="G56" s="291"/>
      <c r="H56" s="291"/>
      <c r="I56" s="291"/>
      <c r="J56" s="291"/>
      <c r="K56" s="291"/>
      <c r="L56" s="291"/>
      <c r="M56" s="291"/>
      <c r="N56" s="291"/>
      <c r="O56" s="291"/>
      <c r="P56" s="291"/>
      <c r="Q56" s="291"/>
      <c r="R56" s="291"/>
      <c r="S56" s="291"/>
      <c r="T56" s="291"/>
      <c r="U56" s="291"/>
      <c r="V56" s="291"/>
      <c r="W56" s="291"/>
    </row>
    <row r="57" ht="27" hidden="1" customHeight="1">
      <c r="E57" s="290" t="s">
        <v>207</v>
      </c>
      <c r="F57" s="290"/>
      <c r="G57" s="291"/>
      <c r="H57" s="291"/>
      <c r="I57" s="291"/>
      <c r="J57" s="291"/>
      <c r="K57" s="291"/>
      <c r="L57" s="291"/>
      <c r="M57" s="291"/>
      <c r="N57" s="291"/>
      <c r="O57" s="291"/>
      <c r="P57" s="291"/>
      <c r="Q57" s="291"/>
      <c r="R57" s="291"/>
      <c r="S57" s="291"/>
      <c r="T57" s="291"/>
      <c r="U57" s="291"/>
      <c r="V57" s="291"/>
      <c r="W57" s="291"/>
    </row>
    <row r="58" ht="17.25" hidden="1" customHeight="1">
      <c r="E58" s="290" t="s">
        <v>208</v>
      </c>
      <c r="F58" s="290"/>
      <c r="G58" s="291"/>
      <c r="H58" s="291"/>
      <c r="I58" s="291"/>
      <c r="J58" s="291"/>
      <c r="K58" s="291"/>
      <c r="L58" s="291"/>
      <c r="M58" s="291"/>
      <c r="N58" s="291"/>
      <c r="O58" s="291"/>
      <c r="P58" s="291"/>
      <c r="Q58" s="291"/>
      <c r="R58" s="291"/>
      <c r="S58" s="291"/>
      <c r="T58" s="291"/>
      <c r="U58" s="291"/>
      <c r="V58" s="291"/>
      <c r="W58" s="291"/>
    </row>
    <row r="59" ht="15" hidden="1" customHeight="1">
      <c r="E59" s="289"/>
      <c r="F59" s="289"/>
      <c r="G59" s="292"/>
      <c r="H59" s="292"/>
      <c r="I59" s="292"/>
      <c r="J59" s="292"/>
      <c r="K59" s="292"/>
      <c r="L59" s="292"/>
      <c r="M59" s="292"/>
      <c r="N59" s="292"/>
      <c r="O59" s="292"/>
      <c r="P59" s="292"/>
      <c r="Q59" s="292"/>
      <c r="R59" s="292"/>
      <c r="S59" s="292"/>
      <c r="T59" s="292"/>
      <c r="U59" s="292"/>
      <c r="V59" s="292"/>
      <c r="W59" s="292"/>
    </row>
    <row r="60" ht="15" hidden="1" customHeight="1">
      <c r="E60" s="289" t="s">
        <v>209</v>
      </c>
      <c r="F60" s="289"/>
      <c r="G60" s="289"/>
      <c r="H60" s="289"/>
      <c r="I60" s="289"/>
      <c r="J60" s="289"/>
      <c r="K60" s="289"/>
      <c r="L60" s="289"/>
      <c r="M60" s="289"/>
      <c r="N60" s="289"/>
      <c r="O60" s="289"/>
      <c r="P60" s="289"/>
      <c r="Q60" s="289"/>
      <c r="R60" s="289"/>
      <c r="S60" s="289"/>
      <c r="T60" s="289"/>
      <c r="U60" s="289"/>
      <c r="V60" s="289"/>
      <c r="W60" s="289"/>
    </row>
    <row r="61" ht="17.25" hidden="1" customHeight="1">
      <c r="E61" s="290" t="s">
        <v>210</v>
      </c>
      <c r="F61" s="290"/>
      <c r="G61" s="291"/>
      <c r="H61" s="291"/>
      <c r="I61" s="291"/>
      <c r="J61" s="291"/>
      <c r="K61" s="291"/>
      <c r="L61" s="291"/>
      <c r="M61" s="291"/>
      <c r="N61" s="291"/>
      <c r="O61" s="291"/>
      <c r="P61" s="291"/>
      <c r="Q61" s="291"/>
      <c r="R61" s="291"/>
      <c r="S61" s="291"/>
      <c r="T61" s="291"/>
      <c r="U61" s="291"/>
      <c r="V61" s="291"/>
      <c r="W61" s="291"/>
    </row>
    <row r="62" ht="17.25" hidden="1" customHeight="1">
      <c r="E62" s="290" t="s">
        <v>211</v>
      </c>
      <c r="F62" s="290"/>
      <c r="G62" s="291"/>
      <c r="H62" s="291"/>
      <c r="I62" s="291"/>
      <c r="J62" s="291"/>
      <c r="K62" s="291"/>
      <c r="L62" s="291"/>
      <c r="M62" s="291"/>
      <c r="N62" s="291"/>
      <c r="O62" s="291"/>
      <c r="P62" s="291"/>
      <c r="Q62" s="291"/>
      <c r="R62" s="291"/>
      <c r="S62" s="291"/>
      <c r="T62" s="291"/>
      <c r="U62" s="291"/>
      <c r="V62" s="291"/>
      <c r="W62" s="291"/>
    </row>
    <row r="63" s="185" customFormat="1" ht="11.25" hidden="1" customHeight="1">
      <c r="A63" s="128"/>
      <c r="B63" s="128"/>
      <c r="Y63" s="106"/>
      <c r="Z63" s="106"/>
      <c r="AA63" s="106"/>
      <c r="AB63" s="106"/>
      <c r="AC63" s="106"/>
      <c r="AD63" s="106"/>
      <c r="AE63" s="106"/>
      <c r="AF63" s="106"/>
      <c r="AG63" s="106"/>
      <c r="AH63" s="106"/>
      <c r="AI63" s="106"/>
      <c r="AJ63" s="106"/>
      <c r="AK63" s="106"/>
      <c r="AL63" s="106"/>
      <c r="AM63" s="106"/>
      <c r="AN63" s="106"/>
      <c r="AO63" s="106"/>
      <c r="AP63" s="106"/>
      <c r="AQ63" s="106"/>
    </row>
    <row r="64" s="185" customFormat="1" ht="17.25" hidden="1" customHeight="1">
      <c r="A64" s="254"/>
      <c r="C64" s="127"/>
      <c r="D64" s="255">
        <v>1</v>
      </c>
      <c r="E64" s="256" t="s">
        <v>212</v>
      </c>
      <c r="F64" s="257" t="s">
        <v>54</v>
      </c>
      <c r="G64" s="256"/>
      <c r="H64" s="258"/>
      <c r="I64" s="259"/>
      <c r="J64" s="260"/>
      <c r="K64" s="261"/>
      <c r="L64" s="261"/>
      <c r="M64" s="261"/>
      <c r="N64" s="262"/>
      <c r="O64" s="261"/>
      <c r="P64" s="261"/>
      <c r="Q64" s="261"/>
      <c r="R64" s="263"/>
      <c r="S64" s="261"/>
      <c r="T64" s="261"/>
      <c r="U64" s="261"/>
      <c r="V64" s="263"/>
      <c r="W64" s="264"/>
      <c r="Y64" s="265"/>
      <c r="Z64" s="265"/>
      <c r="AA64" s="265"/>
      <c r="AB64" s="265"/>
      <c r="AC64" s="265" t="s">
        <v>213</v>
      </c>
      <c r="AD64" s="265" t="s">
        <v>214</v>
      </c>
      <c r="AE64" s="265" t="s">
        <v>215</v>
      </c>
      <c r="AF64" s="265" t="s">
        <v>216</v>
      </c>
      <c r="AG64" s="265"/>
      <c r="AH64" s="265" t="str">
        <f>IF($E$64=0,"",$E$64)</f>
        <v xml:space="preserve">Тариф на питьевую воду (питьевое водоснабжение)</v>
      </c>
      <c r="AI64" s="265" t="str">
        <f>IF($G$64=0,"",$G$64)</f>
        <v/>
      </c>
      <c r="AJ64" s="265" t="str">
        <f>IF($J$64=0,"",$J$64)</f>
        <v/>
      </c>
      <c r="AK64" s="265" t="str">
        <f>IF($K$64="нет","без дифференциации",IF($N$64=0,"",$N$64))</f>
        <v/>
      </c>
      <c r="AL64" s="265" t="str">
        <f>IF($O$64="нет","без дифференциации",IF($R$64=0,"",$R$64))</f>
        <v/>
      </c>
      <c r="AM64" s="265" t="str">
        <f>IF($S$64="нет","без дифференциации",IF($V$64=0,"",$V$64))</f>
        <v/>
      </c>
      <c r="AN64" s="265">
        <f>$I$64</f>
        <v>0</v>
      </c>
      <c r="AO64" s="265" t="str">
        <f>$I$64&amp;"."&amp;$M$64</f>
        <v>.</v>
      </c>
      <c r="AP64" s="265" t="str">
        <f>$I$64&amp;"."&amp;$M$64&amp;"."&amp;$Q$64</f>
        <v>..</v>
      </c>
      <c r="AQ64" s="265" t="str">
        <f>$I$64&amp;"."&amp;$M$64&amp;"."&amp;$Q$64&amp;"."&amp;$U$64</f>
        <v>...</v>
      </c>
    </row>
    <row r="65" s="185" customFormat="1" ht="17.25" hidden="1" customHeight="1">
      <c r="A65" s="254"/>
      <c r="C65" s="185"/>
      <c r="D65" s="255"/>
      <c r="E65" s="256"/>
      <c r="F65" s="266"/>
      <c r="G65" s="256"/>
      <c r="H65" s="267"/>
      <c r="I65" s="268"/>
      <c r="J65" s="269"/>
      <c r="K65" s="124"/>
      <c r="L65" s="124"/>
      <c r="M65" s="124"/>
      <c r="N65" s="270"/>
      <c r="O65" s="124"/>
      <c r="P65" s="124"/>
      <c r="Q65" s="124"/>
      <c r="R65" s="271"/>
      <c r="S65" s="124"/>
      <c r="T65" s="272"/>
      <c r="U65" s="272"/>
      <c r="V65" s="272"/>
      <c r="W65" s="273"/>
      <c r="Y65" s="106"/>
      <c r="Z65" s="106"/>
      <c r="AA65" s="106"/>
      <c r="AB65" s="106"/>
      <c r="AC65" s="106"/>
      <c r="AD65" s="106"/>
      <c r="AE65" s="106"/>
      <c r="AF65" s="106"/>
      <c r="AG65" s="106"/>
      <c r="AH65" s="106"/>
      <c r="AI65" s="106"/>
      <c r="AJ65" s="106"/>
      <c r="AK65" s="106"/>
      <c r="AL65" s="106"/>
      <c r="AM65" s="106"/>
      <c r="AN65" s="106"/>
      <c r="AO65" s="106"/>
      <c r="AP65" s="106"/>
      <c r="AQ65" s="106"/>
    </row>
    <row r="66" s="185" customFormat="1" ht="17.25" hidden="1" customHeight="1">
      <c r="A66" s="254"/>
      <c r="C66" s="127"/>
      <c r="D66" s="255"/>
      <c r="E66" s="256"/>
      <c r="F66" s="266"/>
      <c r="G66" s="256"/>
      <c r="H66" s="267"/>
      <c r="I66" s="268"/>
      <c r="J66" s="274"/>
      <c r="K66" s="124"/>
      <c r="L66" s="124"/>
      <c r="M66" s="124"/>
      <c r="N66" s="271"/>
      <c r="O66" s="124"/>
      <c r="P66" s="124"/>
      <c r="Q66" s="272"/>
      <c r="R66" s="272"/>
      <c r="S66" s="185"/>
      <c r="T66" s="185"/>
      <c r="U66" s="185"/>
      <c r="V66" s="185"/>
      <c r="W66" s="273"/>
      <c r="Y66" s="265"/>
      <c r="Z66" s="265"/>
      <c r="AA66" s="265"/>
      <c r="AB66" s="265"/>
      <c r="AC66" s="265"/>
      <c r="AD66" s="265"/>
      <c r="AE66" s="265"/>
      <c r="AF66" s="265"/>
      <c r="AG66" s="265"/>
      <c r="AH66" s="265"/>
      <c r="AI66" s="265"/>
      <c r="AJ66" s="265"/>
      <c r="AK66" s="265"/>
      <c r="AL66" s="265"/>
      <c r="AM66" s="265"/>
      <c r="AN66" s="265"/>
      <c r="AO66" s="265"/>
      <c r="AP66" s="265"/>
      <c r="AQ66" s="265"/>
    </row>
    <row r="67" s="185" customFormat="1" ht="17.25" hidden="1" customHeight="1">
      <c r="A67" s="254"/>
      <c r="C67" s="185"/>
      <c r="D67" s="255"/>
      <c r="E67" s="256"/>
      <c r="F67" s="266"/>
      <c r="G67" s="256"/>
      <c r="H67" s="267"/>
      <c r="I67" s="268"/>
      <c r="J67" s="274"/>
      <c r="K67" s="124"/>
      <c r="L67" s="272"/>
      <c r="M67" s="272"/>
      <c r="N67" s="272"/>
      <c r="O67" s="272"/>
      <c r="P67" s="272"/>
      <c r="Q67" s="272"/>
      <c r="R67" s="272"/>
      <c r="S67" s="185"/>
      <c r="T67" s="185"/>
      <c r="U67" s="185"/>
      <c r="V67" s="185"/>
      <c r="W67" s="273"/>
      <c r="Y67" s="106"/>
      <c r="Z67" s="106"/>
      <c r="AA67" s="106"/>
      <c r="AB67" s="106"/>
      <c r="AC67" s="106"/>
      <c r="AD67" s="106"/>
      <c r="AE67" s="106"/>
      <c r="AF67" s="106"/>
      <c r="AG67" s="106"/>
      <c r="AH67" s="106"/>
      <c r="AI67" s="106"/>
      <c r="AJ67" s="106"/>
      <c r="AK67" s="106"/>
      <c r="AL67" s="106"/>
      <c r="AM67" s="106"/>
      <c r="AN67" s="106"/>
      <c r="AO67" s="106"/>
      <c r="AP67" s="106"/>
      <c r="AQ67" s="106"/>
    </row>
    <row r="68" s="185" customFormat="1" ht="17.25" hidden="1" customHeight="1">
      <c r="A68" s="254"/>
      <c r="C68" s="185"/>
      <c r="D68" s="275"/>
      <c r="E68" s="276"/>
      <c r="F68" s="277"/>
      <c r="G68" s="276"/>
      <c r="H68" s="278"/>
      <c r="I68" s="279"/>
      <c r="J68" s="279"/>
      <c r="K68" s="279"/>
      <c r="L68" s="279"/>
      <c r="M68" s="279"/>
      <c r="N68" s="279"/>
      <c r="O68" s="279"/>
      <c r="P68" s="279"/>
      <c r="Q68" s="279"/>
      <c r="R68" s="279"/>
      <c r="S68" s="280"/>
      <c r="T68" s="280"/>
      <c r="U68" s="280"/>
      <c r="V68" s="280"/>
      <c r="W68" s="281"/>
      <c r="Y68" s="106"/>
      <c r="Z68" s="106"/>
      <c r="AA68" s="106"/>
      <c r="AB68" s="106"/>
      <c r="AC68" s="106"/>
      <c r="AD68" s="106"/>
      <c r="AE68" s="106"/>
      <c r="AF68" s="106"/>
      <c r="AG68" s="106"/>
      <c r="AH68" s="106"/>
      <c r="AI68" s="106"/>
      <c r="AJ68" s="106"/>
      <c r="AK68" s="106"/>
      <c r="AL68" s="106"/>
      <c r="AM68" s="106"/>
      <c r="AN68" s="106"/>
      <c r="AO68" s="106"/>
      <c r="AP68" s="106"/>
      <c r="AQ68" s="106"/>
    </row>
    <row r="69" s="185" customFormat="1" ht="17.25" hidden="1" customHeight="1">
      <c r="A69" s="254"/>
      <c r="C69" s="127"/>
      <c r="D69" s="255">
        <v>2</v>
      </c>
      <c r="E69" s="256" t="s">
        <v>217</v>
      </c>
      <c r="F69" s="257" t="s">
        <v>54</v>
      </c>
      <c r="G69" s="256"/>
      <c r="H69" s="258"/>
      <c r="I69" s="259"/>
      <c r="J69" s="260"/>
      <c r="K69" s="261"/>
      <c r="L69" s="261"/>
      <c r="M69" s="261"/>
      <c r="N69" s="262"/>
      <c r="O69" s="261"/>
      <c r="P69" s="261"/>
      <c r="Q69" s="261"/>
      <c r="R69" s="263"/>
      <c r="S69" s="261"/>
      <c r="T69" s="261"/>
      <c r="U69" s="261"/>
      <c r="V69" s="263"/>
      <c r="W69" s="264"/>
      <c r="X69" s="265"/>
      <c r="Y69" s="265"/>
      <c r="Z69" s="265"/>
      <c r="AA69" s="265"/>
      <c r="AB69" s="265"/>
      <c r="AC69" s="265" t="s">
        <v>218</v>
      </c>
      <c r="AD69" s="265" t="s">
        <v>219</v>
      </c>
      <c r="AE69" s="265" t="s">
        <v>220</v>
      </c>
      <c r="AF69" s="265" t="s">
        <v>221</v>
      </c>
      <c r="AG69" s="265"/>
      <c r="AH69" s="265" t="str">
        <f>IF($E$69=0,"",$E$69)</f>
        <v xml:space="preserve">Тариф на техническую воду</v>
      </c>
      <c r="AI69" s="265" t="str">
        <f>IF($G$69=0,"",$G$69)</f>
        <v/>
      </c>
      <c r="AJ69" s="265" t="str">
        <f>IF($J$69=0,"",$J$69)</f>
        <v/>
      </c>
      <c r="AK69" s="265" t="str">
        <f>IF($K$69="нет","без дифференциации",IF($N$69=0,"",$N$69))</f>
        <v/>
      </c>
      <c r="AL69" s="265" t="str">
        <f>IF($O$69="нет","без дифференциации",IF($R$69=0,"",$R$69))</f>
        <v/>
      </c>
      <c r="AM69" s="265" t="str">
        <f>IF($S$69="нет","без дифференциации",IF($V$69=0,"",$V$69))</f>
        <v/>
      </c>
      <c r="AN69" s="282">
        <f>$I$69</f>
        <v>0</v>
      </c>
      <c r="AO69" s="265" t="str">
        <f>$I$69&amp;"."&amp;$M$69</f>
        <v>.</v>
      </c>
      <c r="AP69" s="106" t="str">
        <f>$I$69&amp;"."&amp;$M$69&amp;"."&amp;$Q$69</f>
        <v>..</v>
      </c>
      <c r="AQ69" s="106" t="str">
        <f>$I$69&amp;"."&amp;$M$69&amp;"."&amp;$Q$69&amp;"."&amp;$U$69</f>
        <v>...</v>
      </c>
    </row>
    <row r="70" s="185" customFormat="1" ht="17.25" hidden="1" customHeight="1">
      <c r="A70" s="254"/>
      <c r="C70" s="185"/>
      <c r="D70" s="255"/>
      <c r="E70" s="256"/>
      <c r="F70" s="266"/>
      <c r="G70" s="256"/>
      <c r="H70" s="267"/>
      <c r="I70" s="268"/>
      <c r="J70" s="269"/>
      <c r="K70" s="124"/>
      <c r="L70" s="124"/>
      <c r="M70" s="124"/>
      <c r="N70" s="270"/>
      <c r="O70" s="124"/>
      <c r="P70" s="124"/>
      <c r="Q70" s="124"/>
      <c r="R70" s="271"/>
      <c r="S70" s="124"/>
      <c r="T70" s="272"/>
      <c r="U70" s="272"/>
      <c r="V70" s="272"/>
      <c r="W70" s="273"/>
      <c r="X70" s="106"/>
      <c r="Y70" s="106"/>
      <c r="Z70" s="106"/>
      <c r="AA70" s="106"/>
      <c r="AB70" s="106"/>
      <c r="AC70" s="106"/>
      <c r="AD70" s="106"/>
      <c r="AE70" s="106"/>
      <c r="AF70" s="106"/>
      <c r="AG70" s="106"/>
      <c r="AH70" s="106"/>
      <c r="AI70" s="106"/>
      <c r="AJ70" s="106"/>
      <c r="AK70" s="106"/>
      <c r="AL70" s="106"/>
      <c r="AM70" s="106"/>
      <c r="AN70" s="106"/>
      <c r="AO70" s="106"/>
      <c r="AP70" s="106"/>
      <c r="AQ70" s="106"/>
    </row>
    <row r="71" s="185" customFormat="1" ht="17.25" hidden="1" customHeight="1">
      <c r="A71" s="254"/>
      <c r="C71" s="185"/>
      <c r="D71" s="275"/>
      <c r="E71" s="276"/>
      <c r="F71" s="266"/>
      <c r="G71" s="276"/>
      <c r="H71" s="267"/>
      <c r="I71" s="268"/>
      <c r="J71" s="274"/>
      <c r="K71" s="124"/>
      <c r="L71" s="124"/>
      <c r="M71" s="124"/>
      <c r="N71" s="271"/>
      <c r="O71" s="124"/>
      <c r="P71" s="124"/>
      <c r="Q71" s="272"/>
      <c r="R71" s="272"/>
      <c r="S71" s="185"/>
      <c r="T71" s="185"/>
      <c r="U71" s="185"/>
      <c r="V71" s="185"/>
      <c r="W71" s="273"/>
      <c r="X71" s="106"/>
      <c r="Y71" s="106"/>
      <c r="Z71" s="106"/>
      <c r="AA71" s="106"/>
      <c r="AB71" s="106"/>
      <c r="AC71" s="106"/>
      <c r="AD71" s="106"/>
      <c r="AE71" s="106"/>
      <c r="AF71" s="106"/>
      <c r="AG71" s="106"/>
      <c r="AH71" s="106"/>
      <c r="AI71" s="106"/>
      <c r="AJ71" s="106"/>
      <c r="AK71" s="106"/>
      <c r="AL71" s="106"/>
      <c r="AM71" s="106"/>
      <c r="AN71" s="106"/>
      <c r="AO71" s="106"/>
      <c r="AP71" s="106"/>
      <c r="AQ71" s="106"/>
    </row>
    <row r="72" s="185" customFormat="1" ht="17.25" hidden="1" customHeight="1">
      <c r="A72" s="254"/>
      <c r="C72" s="185"/>
      <c r="D72" s="275"/>
      <c r="E72" s="276"/>
      <c r="F72" s="266"/>
      <c r="G72" s="276"/>
      <c r="H72" s="267"/>
      <c r="I72" s="268"/>
      <c r="J72" s="274"/>
      <c r="K72" s="124"/>
      <c r="L72" s="272"/>
      <c r="M72" s="272"/>
      <c r="N72" s="272"/>
      <c r="O72" s="272"/>
      <c r="P72" s="272"/>
      <c r="Q72" s="272"/>
      <c r="R72" s="272"/>
      <c r="S72" s="185"/>
      <c r="T72" s="185"/>
      <c r="U72" s="185"/>
      <c r="V72" s="185"/>
      <c r="W72" s="273"/>
      <c r="X72" s="106"/>
      <c r="Y72" s="106"/>
      <c r="Z72" s="106"/>
      <c r="AA72" s="106"/>
      <c r="AB72" s="106"/>
      <c r="AC72" s="106"/>
      <c r="AD72" s="106"/>
      <c r="AE72" s="106"/>
      <c r="AF72" s="106"/>
      <c r="AG72" s="106"/>
      <c r="AH72" s="106"/>
      <c r="AI72" s="106"/>
      <c r="AJ72" s="106"/>
      <c r="AK72" s="106"/>
      <c r="AL72" s="106"/>
      <c r="AM72" s="106"/>
      <c r="AN72" s="106"/>
      <c r="AO72" s="106"/>
      <c r="AP72" s="106"/>
      <c r="AQ72" s="106"/>
    </row>
    <row r="73" s="185" customFormat="1" ht="17.25" hidden="1" customHeight="1">
      <c r="A73" s="254"/>
      <c r="C73" s="185"/>
      <c r="D73" s="275"/>
      <c r="E73" s="276"/>
      <c r="F73" s="277"/>
      <c r="G73" s="276"/>
      <c r="H73" s="278"/>
      <c r="I73" s="279"/>
      <c r="J73" s="279"/>
      <c r="K73" s="279"/>
      <c r="L73" s="279"/>
      <c r="M73" s="279"/>
      <c r="N73" s="279"/>
      <c r="O73" s="279"/>
      <c r="P73" s="279"/>
      <c r="Q73" s="279"/>
      <c r="R73" s="279"/>
      <c r="S73" s="280"/>
      <c r="T73" s="280"/>
      <c r="U73" s="280"/>
      <c r="V73" s="280"/>
      <c r="W73" s="281"/>
      <c r="X73" s="106"/>
      <c r="Y73" s="106"/>
      <c r="Z73" s="106"/>
      <c r="AA73" s="106"/>
      <c r="AB73" s="106"/>
      <c r="AC73" s="106"/>
      <c r="AD73" s="106"/>
      <c r="AE73" s="106"/>
      <c r="AF73" s="106"/>
      <c r="AG73" s="106"/>
      <c r="AH73" s="106"/>
      <c r="AI73" s="106"/>
      <c r="AJ73" s="106"/>
      <c r="AK73" s="106"/>
      <c r="AL73" s="106"/>
      <c r="AM73" s="106"/>
      <c r="AN73" s="106"/>
      <c r="AO73" s="106"/>
      <c r="AP73" s="106"/>
      <c r="AQ73" s="106"/>
    </row>
    <row r="74" s="185" customFormat="1" ht="17.25" hidden="1" customHeight="1">
      <c r="A74" s="254"/>
      <c r="C74" s="127"/>
      <c r="D74" s="255">
        <v>3</v>
      </c>
      <c r="E74" s="256" t="s">
        <v>222</v>
      </c>
      <c r="F74" s="257" t="s">
        <v>54</v>
      </c>
      <c r="G74" s="256"/>
      <c r="H74" s="258"/>
      <c r="I74" s="259"/>
      <c r="J74" s="260"/>
      <c r="K74" s="261"/>
      <c r="L74" s="261"/>
      <c r="M74" s="261"/>
      <c r="N74" s="262"/>
      <c r="O74" s="261"/>
      <c r="P74" s="261"/>
      <c r="Q74" s="261"/>
      <c r="R74" s="263"/>
      <c r="S74" s="261"/>
      <c r="T74" s="261"/>
      <c r="U74" s="261"/>
      <c r="V74" s="263"/>
      <c r="W74" s="264"/>
      <c r="X74" s="265"/>
      <c r="Y74" s="265"/>
      <c r="Z74" s="265"/>
      <c r="AA74" s="265"/>
      <c r="AB74" s="265"/>
      <c r="AC74" s="265" t="s">
        <v>223</v>
      </c>
      <c r="AD74" s="265" t="s">
        <v>224</v>
      </c>
      <c r="AE74" s="265" t="s">
        <v>225</v>
      </c>
      <c r="AF74" s="265" t="s">
        <v>226</v>
      </c>
      <c r="AG74" s="265"/>
      <c r="AH74" s="265" t="str">
        <f>IF($E$74=0,"",$E$74)</f>
        <v xml:space="preserve">Тариф на транспортировку воды</v>
      </c>
      <c r="AI74" s="265" t="str">
        <f>IF($G$74=0,"",$G$74)</f>
        <v/>
      </c>
      <c r="AJ74" s="265" t="str">
        <f>IF($J$74=0,"",$J$74)</f>
        <v/>
      </c>
      <c r="AK74" s="265" t="str">
        <f>IF($K$74="нет","без дифференциации",IF($N$74=0,"",$N$74))</f>
        <v/>
      </c>
      <c r="AL74" s="265" t="str">
        <f>IF($O$74="нет","без дифференциации",IF($R$74=0,"",$R$74))</f>
        <v/>
      </c>
      <c r="AM74" s="265" t="str">
        <f>IF($S$74="нет","без дифференциации",IF($V$74=0,"",$V$74))</f>
        <v/>
      </c>
      <c r="AN74" s="282">
        <f>$I$74</f>
        <v>0</v>
      </c>
      <c r="AO74" s="265" t="str">
        <f>$I$74&amp;"."&amp;$M$74</f>
        <v>.</v>
      </c>
      <c r="AP74" s="106" t="str">
        <f>$I$74&amp;"."&amp;$M$74&amp;"."&amp;$Q$74</f>
        <v>..</v>
      </c>
      <c r="AQ74" s="106" t="str">
        <f>$I$74&amp;"."&amp;$M$74&amp;"."&amp;$Q$74&amp;"."&amp;$U$74</f>
        <v>...</v>
      </c>
    </row>
    <row r="75" s="185" customFormat="1" ht="17.25" hidden="1" customHeight="1">
      <c r="A75" s="254"/>
      <c r="C75" s="185"/>
      <c r="D75" s="255"/>
      <c r="E75" s="256"/>
      <c r="F75" s="266"/>
      <c r="G75" s="256"/>
      <c r="H75" s="267"/>
      <c r="I75" s="268"/>
      <c r="J75" s="269"/>
      <c r="K75" s="124"/>
      <c r="L75" s="124"/>
      <c r="M75" s="124"/>
      <c r="N75" s="270"/>
      <c r="O75" s="124"/>
      <c r="P75" s="124"/>
      <c r="Q75" s="124"/>
      <c r="R75" s="271"/>
      <c r="S75" s="124"/>
      <c r="T75" s="272"/>
      <c r="U75" s="272"/>
      <c r="V75" s="272"/>
      <c r="W75" s="273"/>
      <c r="X75" s="106"/>
      <c r="Y75" s="106"/>
      <c r="Z75" s="106"/>
      <c r="AA75" s="106"/>
      <c r="AB75" s="106"/>
      <c r="AC75" s="106"/>
      <c r="AD75" s="106"/>
      <c r="AE75" s="106"/>
      <c r="AF75" s="106"/>
      <c r="AG75" s="106"/>
      <c r="AH75" s="106"/>
      <c r="AI75" s="106"/>
      <c r="AJ75" s="106"/>
      <c r="AK75" s="106"/>
      <c r="AL75" s="106"/>
      <c r="AM75" s="106"/>
      <c r="AN75" s="106"/>
      <c r="AO75" s="106"/>
      <c r="AP75" s="106"/>
      <c r="AQ75" s="106"/>
    </row>
    <row r="76" s="185" customFormat="1" ht="17.25" hidden="1" customHeight="1">
      <c r="A76" s="254"/>
      <c r="C76" s="185"/>
      <c r="D76" s="275"/>
      <c r="E76" s="276"/>
      <c r="F76" s="266"/>
      <c r="G76" s="276"/>
      <c r="H76" s="267"/>
      <c r="I76" s="268"/>
      <c r="J76" s="274"/>
      <c r="K76" s="124"/>
      <c r="L76" s="124"/>
      <c r="M76" s="124"/>
      <c r="N76" s="271"/>
      <c r="O76" s="124"/>
      <c r="P76" s="124"/>
      <c r="Q76" s="272"/>
      <c r="R76" s="272"/>
      <c r="S76" s="185"/>
      <c r="T76" s="185"/>
      <c r="U76" s="185"/>
      <c r="V76" s="185"/>
      <c r="W76" s="273"/>
      <c r="X76" s="106"/>
      <c r="Y76" s="106"/>
      <c r="Z76" s="106"/>
      <c r="AA76" s="106"/>
      <c r="AB76" s="106"/>
      <c r="AC76" s="106"/>
      <c r="AD76" s="106"/>
      <c r="AE76" s="106"/>
      <c r="AF76" s="106"/>
      <c r="AG76" s="106"/>
      <c r="AH76" s="106"/>
      <c r="AI76" s="106"/>
      <c r="AJ76" s="106"/>
      <c r="AK76" s="106"/>
      <c r="AL76" s="106"/>
      <c r="AM76" s="106"/>
      <c r="AN76" s="106"/>
      <c r="AO76" s="106"/>
      <c r="AP76" s="106"/>
      <c r="AQ76" s="106"/>
    </row>
    <row r="77" s="185" customFormat="1" ht="17.25" hidden="1" customHeight="1">
      <c r="A77" s="254"/>
      <c r="C77" s="185"/>
      <c r="D77" s="275"/>
      <c r="E77" s="276"/>
      <c r="F77" s="266"/>
      <c r="G77" s="276"/>
      <c r="H77" s="267"/>
      <c r="I77" s="268"/>
      <c r="J77" s="274"/>
      <c r="K77" s="124"/>
      <c r="L77" s="272"/>
      <c r="M77" s="272"/>
      <c r="N77" s="272"/>
      <c r="O77" s="272"/>
      <c r="P77" s="272"/>
      <c r="Q77" s="272"/>
      <c r="R77" s="272"/>
      <c r="S77" s="185"/>
      <c r="T77" s="185"/>
      <c r="U77" s="185"/>
      <c r="V77" s="185"/>
      <c r="W77" s="273"/>
      <c r="X77" s="106"/>
      <c r="Y77" s="106"/>
      <c r="Z77" s="106"/>
      <c r="AA77" s="106"/>
      <c r="AB77" s="106"/>
      <c r="AC77" s="106"/>
      <c r="AD77" s="106"/>
      <c r="AE77" s="106"/>
      <c r="AF77" s="106"/>
      <c r="AG77" s="106"/>
      <c r="AH77" s="106"/>
      <c r="AI77" s="106"/>
      <c r="AJ77" s="106"/>
      <c r="AK77" s="106"/>
      <c r="AL77" s="106"/>
      <c r="AM77" s="106"/>
      <c r="AN77" s="106"/>
      <c r="AO77" s="106"/>
      <c r="AP77" s="106"/>
      <c r="AQ77" s="106"/>
    </row>
    <row r="78" s="185" customFormat="1" ht="17.25" hidden="1" customHeight="1">
      <c r="A78" s="254"/>
      <c r="C78" s="185"/>
      <c r="D78" s="275"/>
      <c r="E78" s="276"/>
      <c r="F78" s="277"/>
      <c r="G78" s="276"/>
      <c r="H78" s="278"/>
      <c r="I78" s="279"/>
      <c r="J78" s="279"/>
      <c r="K78" s="279"/>
      <c r="L78" s="279"/>
      <c r="M78" s="279"/>
      <c r="N78" s="279"/>
      <c r="O78" s="279"/>
      <c r="P78" s="279"/>
      <c r="Q78" s="279"/>
      <c r="R78" s="279"/>
      <c r="S78" s="280"/>
      <c r="T78" s="280"/>
      <c r="U78" s="280"/>
      <c r="V78" s="280"/>
      <c r="W78" s="281"/>
      <c r="X78" s="106"/>
      <c r="Y78" s="106"/>
      <c r="Z78" s="106"/>
      <c r="AA78" s="106"/>
      <c r="AB78" s="106"/>
      <c r="AC78" s="106"/>
      <c r="AD78" s="106"/>
      <c r="AE78" s="106"/>
      <c r="AF78" s="106"/>
      <c r="AG78" s="106"/>
      <c r="AH78" s="106"/>
      <c r="AI78" s="106"/>
      <c r="AJ78" s="106"/>
      <c r="AK78" s="106"/>
      <c r="AL78" s="106"/>
      <c r="AM78" s="106"/>
      <c r="AN78" s="106"/>
      <c r="AO78" s="106"/>
      <c r="AP78" s="106"/>
      <c r="AQ78" s="106"/>
    </row>
    <row r="79" s="185" customFormat="1" ht="17.25" hidden="1" customHeight="1">
      <c r="A79" s="254"/>
      <c r="C79" s="127"/>
      <c r="D79" s="255">
        <v>4</v>
      </c>
      <c r="E79" s="256" t="s">
        <v>227</v>
      </c>
      <c r="F79" s="257" t="s">
        <v>54</v>
      </c>
      <c r="G79" s="256"/>
      <c r="H79" s="258"/>
      <c r="I79" s="259"/>
      <c r="J79" s="260"/>
      <c r="K79" s="261"/>
      <c r="L79" s="261"/>
      <c r="M79" s="261"/>
      <c r="N79" s="262"/>
      <c r="O79" s="261"/>
      <c r="P79" s="261"/>
      <c r="Q79" s="261"/>
      <c r="R79" s="263"/>
      <c r="S79" s="261"/>
      <c r="T79" s="261"/>
      <c r="U79" s="261"/>
      <c r="V79" s="263"/>
      <c r="W79" s="264"/>
      <c r="X79" s="265"/>
      <c r="Y79" s="265"/>
      <c r="Z79" s="265"/>
      <c r="AA79" s="265"/>
      <c r="AB79" s="265"/>
      <c r="AC79" s="265" t="s">
        <v>228</v>
      </c>
      <c r="AD79" s="265" t="s">
        <v>229</v>
      </c>
      <c r="AE79" s="265" t="s">
        <v>230</v>
      </c>
      <c r="AF79" s="265" t="s">
        <v>231</v>
      </c>
      <c r="AG79" s="265"/>
      <c r="AH79" s="265" t="str">
        <f>IF($E$79=0,"",$E$79)</f>
        <v xml:space="preserve">Тариф на подвоз воды</v>
      </c>
      <c r="AI79" s="265" t="str">
        <f>IF($G$79=0,"",$G$79)</f>
        <v/>
      </c>
      <c r="AJ79" s="265" t="str">
        <f>IF($J$79=0,"",$J$79)</f>
        <v/>
      </c>
      <c r="AK79" s="265" t="str">
        <f>IF($K$79="нет","без дифференциации",IF($N$79=0,"",$N$79))</f>
        <v/>
      </c>
      <c r="AL79" s="265" t="str">
        <f>IF($O$79="нет","без дифференциации",IF($R$79=0,"",$R$79))</f>
        <v/>
      </c>
      <c r="AM79" s="265" t="str">
        <f>IF($S$79="нет","без дифференциации",IF($V$79=0,"",$V$79))</f>
        <v/>
      </c>
      <c r="AN79" s="282">
        <f>$I$79</f>
        <v>0</v>
      </c>
      <c r="AO79" s="265" t="str">
        <f>$I$79&amp;"."&amp;$M$79</f>
        <v>.</v>
      </c>
      <c r="AP79" s="106" t="str">
        <f>$I$79&amp;"."&amp;$M$79&amp;"."&amp;$Q$79</f>
        <v>..</v>
      </c>
      <c r="AQ79" s="106" t="str">
        <f>$I$79&amp;"."&amp;$M$79&amp;"."&amp;$Q$79&amp;"."&amp;$U$79</f>
        <v>...</v>
      </c>
    </row>
    <row r="80" s="185" customFormat="1" ht="17.25" hidden="1" customHeight="1">
      <c r="A80" s="254"/>
      <c r="C80" s="185"/>
      <c r="D80" s="255"/>
      <c r="E80" s="256"/>
      <c r="F80" s="266"/>
      <c r="G80" s="256"/>
      <c r="H80" s="267"/>
      <c r="I80" s="268"/>
      <c r="J80" s="269"/>
      <c r="K80" s="124"/>
      <c r="L80" s="124"/>
      <c r="M80" s="124"/>
      <c r="N80" s="270"/>
      <c r="O80" s="124"/>
      <c r="P80" s="124"/>
      <c r="Q80" s="124"/>
      <c r="R80" s="271"/>
      <c r="S80" s="124"/>
      <c r="T80" s="272"/>
      <c r="U80" s="272"/>
      <c r="V80" s="272"/>
      <c r="W80" s="273"/>
      <c r="X80" s="106"/>
      <c r="Y80" s="106"/>
      <c r="Z80" s="106"/>
      <c r="AA80" s="106"/>
      <c r="AB80" s="106"/>
      <c r="AC80" s="106"/>
      <c r="AD80" s="106"/>
      <c r="AE80" s="106"/>
      <c r="AF80" s="106"/>
      <c r="AG80" s="106"/>
      <c r="AH80" s="106"/>
      <c r="AI80" s="106"/>
      <c r="AJ80" s="106"/>
      <c r="AK80" s="106"/>
      <c r="AL80" s="106"/>
      <c r="AM80" s="106"/>
      <c r="AN80" s="106"/>
      <c r="AO80" s="106"/>
      <c r="AP80" s="106"/>
      <c r="AQ80" s="106"/>
    </row>
    <row r="81" s="185" customFormat="1" ht="17.25" hidden="1" customHeight="1">
      <c r="A81" s="254"/>
      <c r="C81" s="185"/>
      <c r="D81" s="275"/>
      <c r="E81" s="276"/>
      <c r="F81" s="266"/>
      <c r="G81" s="276"/>
      <c r="H81" s="267"/>
      <c r="I81" s="268"/>
      <c r="J81" s="274"/>
      <c r="K81" s="124"/>
      <c r="L81" s="124"/>
      <c r="M81" s="124"/>
      <c r="N81" s="271"/>
      <c r="O81" s="124"/>
      <c r="P81" s="124"/>
      <c r="Q81" s="272"/>
      <c r="R81" s="272"/>
      <c r="S81" s="185"/>
      <c r="T81" s="185"/>
      <c r="U81" s="185"/>
      <c r="V81" s="185"/>
      <c r="W81" s="273"/>
      <c r="X81" s="106"/>
      <c r="Y81" s="106"/>
      <c r="Z81" s="106"/>
      <c r="AA81" s="106"/>
      <c r="AB81" s="106"/>
      <c r="AC81" s="106"/>
      <c r="AD81" s="106"/>
      <c r="AE81" s="106"/>
      <c r="AF81" s="106"/>
      <c r="AG81" s="106"/>
      <c r="AH81" s="106"/>
      <c r="AI81" s="106"/>
      <c r="AJ81" s="106"/>
      <c r="AK81" s="106"/>
      <c r="AL81" s="106"/>
      <c r="AM81" s="106"/>
      <c r="AN81" s="106"/>
      <c r="AO81" s="106"/>
      <c r="AP81" s="106"/>
      <c r="AQ81" s="106"/>
    </row>
    <row r="82" s="185" customFormat="1" ht="17.25" hidden="1" customHeight="1">
      <c r="A82" s="254"/>
      <c r="C82" s="185"/>
      <c r="D82" s="275"/>
      <c r="E82" s="276"/>
      <c r="F82" s="266"/>
      <c r="G82" s="276"/>
      <c r="H82" s="267"/>
      <c r="I82" s="268"/>
      <c r="J82" s="274"/>
      <c r="K82" s="124"/>
      <c r="L82" s="272"/>
      <c r="M82" s="272"/>
      <c r="N82" s="272"/>
      <c r="O82" s="272"/>
      <c r="P82" s="272"/>
      <c r="Q82" s="272"/>
      <c r="R82" s="272"/>
      <c r="S82" s="185"/>
      <c r="T82" s="185"/>
      <c r="U82" s="185"/>
      <c r="V82" s="185"/>
      <c r="W82" s="273"/>
      <c r="X82" s="106"/>
      <c r="Y82" s="106"/>
      <c r="Z82" s="106"/>
      <c r="AA82" s="106"/>
      <c r="AB82" s="106"/>
      <c r="AC82" s="106"/>
      <c r="AD82" s="106"/>
      <c r="AE82" s="106"/>
      <c r="AF82" s="106"/>
      <c r="AG82" s="106"/>
      <c r="AH82" s="106"/>
      <c r="AI82" s="106"/>
      <c r="AJ82" s="106"/>
      <c r="AK82" s="106"/>
      <c r="AL82" s="106"/>
      <c r="AM82" s="106"/>
      <c r="AN82" s="106"/>
      <c r="AO82" s="106"/>
      <c r="AP82" s="106"/>
      <c r="AQ82" s="106"/>
    </row>
    <row r="83" s="185" customFormat="1" ht="17.25" hidden="1" customHeight="1">
      <c r="A83" s="254"/>
      <c r="C83" s="185"/>
      <c r="D83" s="275"/>
      <c r="E83" s="276"/>
      <c r="F83" s="277"/>
      <c r="G83" s="276"/>
      <c r="H83" s="278"/>
      <c r="I83" s="279"/>
      <c r="J83" s="279"/>
      <c r="K83" s="279"/>
      <c r="L83" s="279"/>
      <c r="M83" s="279"/>
      <c r="N83" s="279"/>
      <c r="O83" s="279"/>
      <c r="P83" s="279"/>
      <c r="Q83" s="279"/>
      <c r="R83" s="279"/>
      <c r="S83" s="280"/>
      <c r="T83" s="280"/>
      <c r="U83" s="280"/>
      <c r="V83" s="280"/>
      <c r="W83" s="281"/>
      <c r="X83" s="106"/>
      <c r="Y83" s="106"/>
      <c r="Z83" s="106"/>
      <c r="AA83" s="106"/>
      <c r="AB83" s="106"/>
      <c r="AC83" s="106"/>
      <c r="AD83" s="106"/>
      <c r="AE83" s="106"/>
      <c r="AF83" s="106"/>
      <c r="AG83" s="106"/>
      <c r="AH83" s="106"/>
      <c r="AI83" s="106"/>
      <c r="AJ83" s="106"/>
      <c r="AK83" s="106"/>
      <c r="AL83" s="106"/>
      <c r="AM83" s="106"/>
      <c r="AN83" s="106"/>
      <c r="AO83" s="106"/>
      <c r="AP83" s="106"/>
      <c r="AQ83" s="106"/>
    </row>
    <row r="84" s="185" customFormat="1" ht="17.25" hidden="1" customHeight="1">
      <c r="A84" s="254"/>
      <c r="C84" s="127"/>
      <c r="D84" s="255">
        <v>5</v>
      </c>
      <c r="E84" s="256" t="s">
        <v>232</v>
      </c>
      <c r="F84" s="257" t="s">
        <v>54</v>
      </c>
      <c r="G84" s="256"/>
      <c r="H84" s="258"/>
      <c r="I84" s="259"/>
      <c r="J84" s="260"/>
      <c r="K84" s="261"/>
      <c r="L84" s="261"/>
      <c r="M84" s="261"/>
      <c r="N84" s="262"/>
      <c r="O84" s="261"/>
      <c r="P84" s="261"/>
      <c r="Q84" s="261"/>
      <c r="R84" s="263"/>
      <c r="S84" s="261"/>
      <c r="T84" s="261"/>
      <c r="U84" s="261"/>
      <c r="V84" s="263"/>
      <c r="W84" s="264"/>
      <c r="X84" s="265"/>
      <c r="Y84" s="265"/>
      <c r="Z84" s="265"/>
      <c r="AA84" s="265"/>
      <c r="AB84" s="265"/>
      <c r="AC84" s="265" t="s">
        <v>233</v>
      </c>
      <c r="AD84" s="265" t="s">
        <v>234</v>
      </c>
      <c r="AE84" s="265" t="s">
        <v>235</v>
      </c>
      <c r="AF84" s="265" t="s">
        <v>236</v>
      </c>
      <c r="AG84" s="265"/>
      <c r="AH84" s="265" t="str">
        <f>IF($E$84=0,"",$E$84)</f>
        <v xml:space="preserve">Тариф на подключение (технологическое присоединение) к централизованной системе холодного водоснабжения</v>
      </c>
      <c r="AI84" s="265" t="str">
        <f>IF($G$84=0,"",$G$84)</f>
        <v/>
      </c>
      <c r="AJ84" s="265" t="str">
        <f>IF($J$84=0,"",$J$84)</f>
        <v/>
      </c>
      <c r="AK84" s="265" t="str">
        <f>IF($K$84="нет","без дифференциации",IF($N$84=0,"",$N$84))</f>
        <v/>
      </c>
      <c r="AL84" s="265" t="str">
        <f>IF($O$84="нет","без дифференциации",IF($R$84=0,"",$R$84))</f>
        <v/>
      </c>
      <c r="AM84" s="265" t="str">
        <f>IF($S$84="нет","без дифференциации",IF($V$84=0,"",$V$84))</f>
        <v/>
      </c>
      <c r="AN84" s="282">
        <f>$I$84</f>
        <v>0</v>
      </c>
      <c r="AO84" s="265" t="str">
        <f>$I$84&amp;"."&amp;$M$84</f>
        <v>.</v>
      </c>
      <c r="AP84" s="106" t="str">
        <f>$I$84&amp;"."&amp;$M$84&amp;"."&amp;$Q$84</f>
        <v>..</v>
      </c>
      <c r="AQ84" s="106" t="str">
        <f>$I$84&amp;"."&amp;$M$84&amp;"."&amp;$Q$84&amp;"."&amp;$U$84</f>
        <v>...</v>
      </c>
    </row>
    <row r="85" s="185" customFormat="1" ht="17.25" hidden="1" customHeight="1">
      <c r="A85" s="254"/>
      <c r="C85" s="185"/>
      <c r="D85" s="255"/>
      <c r="E85" s="256"/>
      <c r="F85" s="266"/>
      <c r="G85" s="256"/>
      <c r="H85" s="267"/>
      <c r="I85" s="268"/>
      <c r="J85" s="269"/>
      <c r="K85" s="124"/>
      <c r="L85" s="124"/>
      <c r="M85" s="124"/>
      <c r="N85" s="270"/>
      <c r="O85" s="124"/>
      <c r="P85" s="124"/>
      <c r="Q85" s="124"/>
      <c r="R85" s="271"/>
      <c r="S85" s="124"/>
      <c r="T85" s="272"/>
      <c r="U85" s="272"/>
      <c r="V85" s="272"/>
      <c r="W85" s="273"/>
      <c r="X85" s="106"/>
      <c r="Y85" s="106"/>
      <c r="Z85" s="106"/>
      <c r="AA85" s="106"/>
      <c r="AB85" s="106"/>
      <c r="AC85" s="106"/>
      <c r="AD85" s="106"/>
      <c r="AE85" s="106"/>
      <c r="AF85" s="106"/>
      <c r="AG85" s="106"/>
      <c r="AH85" s="106"/>
      <c r="AI85" s="106"/>
      <c r="AJ85" s="106"/>
      <c r="AK85" s="106"/>
      <c r="AL85" s="106"/>
      <c r="AM85" s="106"/>
      <c r="AN85" s="106"/>
      <c r="AO85" s="106"/>
      <c r="AP85" s="106"/>
      <c r="AQ85" s="106"/>
    </row>
    <row r="86" s="185" customFormat="1" ht="17.25" hidden="1" customHeight="1">
      <c r="A86" s="254"/>
      <c r="C86" s="185"/>
      <c r="D86" s="275"/>
      <c r="E86" s="276"/>
      <c r="F86" s="266"/>
      <c r="G86" s="276"/>
      <c r="H86" s="267"/>
      <c r="I86" s="268"/>
      <c r="J86" s="274"/>
      <c r="K86" s="124"/>
      <c r="L86" s="124"/>
      <c r="M86" s="124"/>
      <c r="N86" s="271"/>
      <c r="O86" s="124"/>
      <c r="P86" s="124"/>
      <c r="Q86" s="272"/>
      <c r="R86" s="272"/>
      <c r="S86" s="185"/>
      <c r="T86" s="185"/>
      <c r="U86" s="185"/>
      <c r="V86" s="185"/>
      <c r="W86" s="273"/>
      <c r="X86" s="106"/>
      <c r="Y86" s="106"/>
      <c r="Z86" s="106"/>
      <c r="AA86" s="106"/>
      <c r="AB86" s="106"/>
      <c r="AC86" s="106"/>
      <c r="AD86" s="106"/>
      <c r="AE86" s="106"/>
      <c r="AF86" s="106"/>
      <c r="AG86" s="106"/>
      <c r="AH86" s="106"/>
      <c r="AI86" s="106"/>
      <c r="AJ86" s="106"/>
      <c r="AK86" s="106"/>
      <c r="AL86" s="106"/>
      <c r="AM86" s="106"/>
      <c r="AN86" s="106"/>
      <c r="AO86" s="106"/>
      <c r="AP86" s="106"/>
      <c r="AQ86" s="106"/>
    </row>
    <row r="87" s="185" customFormat="1" ht="17.25" hidden="1" customHeight="1">
      <c r="A87" s="254"/>
      <c r="C87" s="185"/>
      <c r="D87" s="275"/>
      <c r="E87" s="276"/>
      <c r="F87" s="266"/>
      <c r="G87" s="276"/>
      <c r="H87" s="267"/>
      <c r="I87" s="268"/>
      <c r="J87" s="274"/>
      <c r="K87" s="124"/>
      <c r="L87" s="272"/>
      <c r="M87" s="272"/>
      <c r="N87" s="272"/>
      <c r="O87" s="272"/>
      <c r="P87" s="272"/>
      <c r="Q87" s="272"/>
      <c r="R87" s="272"/>
      <c r="S87" s="185"/>
      <c r="T87" s="185"/>
      <c r="U87" s="185"/>
      <c r="V87" s="185"/>
      <c r="W87" s="273"/>
      <c r="X87" s="106"/>
      <c r="Y87" s="106"/>
      <c r="Z87" s="106"/>
      <c r="AA87" s="106"/>
      <c r="AB87" s="106"/>
      <c r="AC87" s="106"/>
      <c r="AD87" s="106"/>
      <c r="AE87" s="106"/>
      <c r="AF87" s="106"/>
      <c r="AG87" s="106"/>
      <c r="AH87" s="106"/>
      <c r="AI87" s="106"/>
      <c r="AJ87" s="106"/>
      <c r="AK87" s="106"/>
      <c r="AL87" s="106"/>
      <c r="AM87" s="106"/>
      <c r="AN87" s="106"/>
      <c r="AO87" s="106"/>
      <c r="AP87" s="106"/>
      <c r="AQ87" s="106"/>
    </row>
    <row r="88" s="185" customFormat="1" ht="17.25" hidden="1" customHeight="1">
      <c r="A88" s="254"/>
      <c r="C88" s="185"/>
      <c r="D88" s="275"/>
      <c r="E88" s="276"/>
      <c r="F88" s="277"/>
      <c r="G88" s="276"/>
      <c r="H88" s="278"/>
      <c r="I88" s="279"/>
      <c r="J88" s="279"/>
      <c r="K88" s="279"/>
      <c r="L88" s="279"/>
      <c r="M88" s="279"/>
      <c r="N88" s="279"/>
      <c r="O88" s="279"/>
      <c r="P88" s="279"/>
      <c r="Q88" s="279"/>
      <c r="R88" s="279"/>
      <c r="S88" s="280"/>
      <c r="T88" s="280"/>
      <c r="U88" s="280"/>
      <c r="V88" s="280"/>
      <c r="W88" s="281"/>
      <c r="X88" s="106"/>
      <c r="Y88" s="106"/>
      <c r="Z88" s="106"/>
      <c r="AA88" s="106"/>
      <c r="AB88" s="106"/>
      <c r="AC88" s="106"/>
      <c r="AD88" s="106"/>
      <c r="AE88" s="106"/>
      <c r="AF88" s="106"/>
      <c r="AG88" s="106"/>
      <c r="AH88" s="106"/>
      <c r="AI88" s="106"/>
      <c r="AJ88" s="106"/>
      <c r="AK88" s="106"/>
      <c r="AL88" s="106"/>
      <c r="AM88" s="106"/>
      <c r="AN88" s="106"/>
      <c r="AO88" s="106"/>
      <c r="AP88" s="106"/>
      <c r="AQ88" s="106"/>
    </row>
    <row r="89" s="185" customFormat="1" ht="11.25" hidden="1" customHeight="1">
      <c r="A89" s="128"/>
      <c r="B89" s="128"/>
      <c r="Y89" s="106"/>
      <c r="Z89" s="106"/>
      <c r="AA89" s="106"/>
      <c r="AB89" s="106"/>
      <c r="AC89" s="106"/>
      <c r="AD89" s="106"/>
      <c r="AE89" s="106"/>
      <c r="AF89" s="106"/>
      <c r="AG89" s="106"/>
      <c r="AH89" s="106"/>
      <c r="AI89" s="106"/>
      <c r="AJ89" s="106"/>
      <c r="AK89" s="106"/>
      <c r="AL89" s="106"/>
      <c r="AM89" s="106"/>
      <c r="AN89" s="106"/>
      <c r="AO89" s="106"/>
      <c r="AP89" s="106"/>
      <c r="AQ89" s="106"/>
    </row>
    <row r="90" s="185" customFormat="1" ht="17.25" hidden="1" customHeight="1">
      <c r="A90" s="254"/>
      <c r="C90" s="127"/>
      <c r="D90" s="255">
        <v>1</v>
      </c>
      <c r="E90" s="256" t="s">
        <v>237</v>
      </c>
      <c r="F90" s="257" t="s">
        <v>54</v>
      </c>
      <c r="G90" s="256"/>
      <c r="H90" s="258"/>
      <c r="I90" s="259"/>
      <c r="J90" s="260"/>
      <c r="K90" s="261"/>
      <c r="L90" s="261"/>
      <c r="M90" s="261"/>
      <c r="N90" s="262"/>
      <c r="O90" s="261"/>
      <c r="P90" s="261"/>
      <c r="Q90" s="261"/>
      <c r="R90" s="263"/>
      <c r="S90" s="261"/>
      <c r="T90" s="261"/>
      <c r="U90" s="261"/>
      <c r="V90" s="263"/>
      <c r="W90" s="264"/>
      <c r="Y90" s="265"/>
      <c r="Z90" s="265"/>
      <c r="AA90" s="265"/>
      <c r="AB90" s="265"/>
      <c r="AC90" s="265" t="s">
        <v>238</v>
      </c>
      <c r="AD90" s="265" t="s">
        <v>239</v>
      </c>
      <c r="AE90" s="265" t="s">
        <v>240</v>
      </c>
      <c r="AF90" s="265" t="s">
        <v>241</v>
      </c>
      <c r="AG90" s="265"/>
      <c r="AH90" s="265" t="str">
        <f>IF($E$90=0,"",$E$90)</f>
        <v xml:space="preserve">Тариф на горячую воду (горячее водоснабжение)</v>
      </c>
      <c r="AI90" s="265" t="str">
        <f>IF($G$90=0,"",$G$90)</f>
        <v/>
      </c>
      <c r="AJ90" s="265" t="str">
        <f>IF($J$90=0,"",$J$90)</f>
        <v/>
      </c>
      <c r="AK90" s="265" t="str">
        <f>IF($K$90="нет","без дифференциации",IF($N$90=0,"",$N$90))</f>
        <v/>
      </c>
      <c r="AL90" s="265" t="str">
        <f>IF($O$90="нет","без дифференциации",IF($R$90=0,"",$R$90))</f>
        <v/>
      </c>
      <c r="AM90" s="265" t="str">
        <f>IF($S$90="нет","без дифференциации",IF($V$90=0,"",$V$90))</f>
        <v/>
      </c>
      <c r="AN90" s="265">
        <f>$I$90</f>
        <v>0</v>
      </c>
      <c r="AO90" s="265" t="str">
        <f>$I$90&amp;"."&amp;$M$90</f>
        <v>.</v>
      </c>
      <c r="AP90" s="265" t="str">
        <f>$I$90&amp;"."&amp;$M$90&amp;"."&amp;$Q$90</f>
        <v>..</v>
      </c>
      <c r="AQ90" s="265" t="str">
        <f>$I$90&amp;"."&amp;$M$90&amp;"."&amp;$Q$90&amp;"."&amp;$U$90</f>
        <v>...</v>
      </c>
    </row>
    <row r="91" s="185" customFormat="1" ht="17.25" hidden="1" customHeight="1">
      <c r="A91" s="254"/>
      <c r="C91" s="185"/>
      <c r="D91" s="255"/>
      <c r="E91" s="256"/>
      <c r="F91" s="266"/>
      <c r="G91" s="256"/>
      <c r="H91" s="267"/>
      <c r="I91" s="268"/>
      <c r="J91" s="269"/>
      <c r="K91" s="124"/>
      <c r="L91" s="124"/>
      <c r="M91" s="124"/>
      <c r="N91" s="270"/>
      <c r="O91" s="124"/>
      <c r="P91" s="124"/>
      <c r="Q91" s="124"/>
      <c r="R91" s="271"/>
      <c r="S91" s="124"/>
      <c r="T91" s="272"/>
      <c r="U91" s="272"/>
      <c r="V91" s="272"/>
      <c r="W91" s="273"/>
      <c r="Y91" s="106"/>
      <c r="Z91" s="106"/>
      <c r="AA91" s="106"/>
      <c r="AB91" s="106"/>
      <c r="AC91" s="106"/>
      <c r="AD91" s="106"/>
      <c r="AE91" s="106"/>
      <c r="AF91" s="106"/>
      <c r="AG91" s="106"/>
      <c r="AH91" s="106"/>
      <c r="AI91" s="106"/>
      <c r="AJ91" s="106"/>
      <c r="AK91" s="106"/>
      <c r="AL91" s="106"/>
      <c r="AM91" s="106"/>
      <c r="AN91" s="106"/>
      <c r="AO91" s="106"/>
      <c r="AP91" s="106"/>
      <c r="AQ91" s="106"/>
    </row>
    <row r="92" s="185" customFormat="1" ht="17.25" hidden="1" customHeight="1">
      <c r="A92" s="254"/>
      <c r="C92" s="127"/>
      <c r="D92" s="255"/>
      <c r="E92" s="256"/>
      <c r="F92" s="266"/>
      <c r="G92" s="256"/>
      <c r="H92" s="267"/>
      <c r="I92" s="268"/>
      <c r="J92" s="274"/>
      <c r="K92" s="124"/>
      <c r="L92" s="124"/>
      <c r="M92" s="124"/>
      <c r="N92" s="271"/>
      <c r="O92" s="124"/>
      <c r="P92" s="124"/>
      <c r="Q92" s="272"/>
      <c r="R92" s="272"/>
      <c r="S92" s="185"/>
      <c r="T92" s="185"/>
      <c r="U92" s="185"/>
      <c r="V92" s="185"/>
      <c r="W92" s="273"/>
      <c r="Y92" s="265"/>
      <c r="Z92" s="265"/>
      <c r="AA92" s="265"/>
      <c r="AB92" s="265"/>
      <c r="AC92" s="265"/>
      <c r="AD92" s="265"/>
      <c r="AE92" s="265"/>
      <c r="AF92" s="265"/>
      <c r="AG92" s="265"/>
      <c r="AH92" s="265"/>
      <c r="AI92" s="265"/>
      <c r="AJ92" s="265"/>
      <c r="AK92" s="265"/>
      <c r="AL92" s="265"/>
      <c r="AM92" s="265"/>
      <c r="AN92" s="265"/>
      <c r="AO92" s="265"/>
      <c r="AP92" s="265"/>
      <c r="AQ92" s="265"/>
    </row>
    <row r="93" s="185" customFormat="1" ht="17.25" hidden="1" customHeight="1">
      <c r="A93" s="254"/>
      <c r="C93" s="185"/>
      <c r="D93" s="255"/>
      <c r="E93" s="256"/>
      <c r="F93" s="266"/>
      <c r="G93" s="256"/>
      <c r="H93" s="267"/>
      <c r="I93" s="268"/>
      <c r="J93" s="274"/>
      <c r="K93" s="124"/>
      <c r="L93" s="272"/>
      <c r="M93" s="272"/>
      <c r="N93" s="272"/>
      <c r="O93" s="272"/>
      <c r="P93" s="272"/>
      <c r="Q93" s="272"/>
      <c r="R93" s="272"/>
      <c r="S93" s="185"/>
      <c r="T93" s="185"/>
      <c r="U93" s="185"/>
      <c r="V93" s="185"/>
      <c r="W93" s="273"/>
      <c r="Y93" s="106"/>
      <c r="Z93" s="106"/>
      <c r="AA93" s="106"/>
      <c r="AB93" s="106"/>
      <c r="AC93" s="106"/>
      <c r="AD93" s="106"/>
      <c r="AE93" s="106"/>
      <c r="AF93" s="106"/>
      <c r="AG93" s="106"/>
      <c r="AH93" s="106"/>
      <c r="AI93" s="106"/>
      <c r="AJ93" s="106"/>
      <c r="AK93" s="106"/>
      <c r="AL93" s="106"/>
      <c r="AM93" s="106"/>
      <c r="AN93" s="106"/>
      <c r="AO93" s="106"/>
      <c r="AP93" s="106"/>
      <c r="AQ93" s="106"/>
    </row>
    <row r="94" s="185" customFormat="1" ht="17.25" hidden="1" customHeight="1">
      <c r="A94" s="254"/>
      <c r="C94" s="185"/>
      <c r="D94" s="275"/>
      <c r="E94" s="276"/>
      <c r="F94" s="277"/>
      <c r="G94" s="276"/>
      <c r="H94" s="278"/>
      <c r="I94" s="279"/>
      <c r="J94" s="279"/>
      <c r="K94" s="279"/>
      <c r="L94" s="279"/>
      <c r="M94" s="279"/>
      <c r="N94" s="279"/>
      <c r="O94" s="279"/>
      <c r="P94" s="279"/>
      <c r="Q94" s="279"/>
      <c r="R94" s="279"/>
      <c r="S94" s="280"/>
      <c r="T94" s="280"/>
      <c r="U94" s="280"/>
      <c r="V94" s="280"/>
      <c r="W94" s="281"/>
      <c r="Y94" s="106"/>
      <c r="Z94" s="106"/>
      <c r="AA94" s="106"/>
      <c r="AB94" s="106"/>
      <c r="AC94" s="106"/>
      <c r="AD94" s="106"/>
      <c r="AE94" s="106"/>
      <c r="AF94" s="106"/>
      <c r="AG94" s="106"/>
      <c r="AH94" s="106"/>
      <c r="AI94" s="106"/>
      <c r="AJ94" s="106"/>
      <c r="AK94" s="106"/>
      <c r="AL94" s="106"/>
      <c r="AM94" s="106"/>
      <c r="AN94" s="106"/>
      <c r="AO94" s="106"/>
      <c r="AP94" s="106"/>
      <c r="AQ94" s="106"/>
    </row>
    <row r="95" s="185" customFormat="1" ht="17.25" hidden="1" customHeight="1">
      <c r="A95" s="254"/>
      <c r="C95" s="127"/>
      <c r="D95" s="255">
        <v>2</v>
      </c>
      <c r="E95" s="256" t="s">
        <v>242</v>
      </c>
      <c r="F95" s="257" t="s">
        <v>54</v>
      </c>
      <c r="G95" s="256"/>
      <c r="H95" s="258"/>
      <c r="I95" s="259"/>
      <c r="J95" s="260"/>
      <c r="K95" s="261"/>
      <c r="L95" s="261"/>
      <c r="M95" s="261"/>
      <c r="N95" s="262"/>
      <c r="O95" s="261"/>
      <c r="P95" s="261"/>
      <c r="Q95" s="261"/>
      <c r="R95" s="263"/>
      <c r="S95" s="261"/>
      <c r="T95" s="261"/>
      <c r="U95" s="261"/>
      <c r="V95" s="263"/>
      <c r="W95" s="264"/>
      <c r="X95" s="265"/>
      <c r="Y95" s="265"/>
      <c r="Z95" s="265"/>
      <c r="AA95" s="265"/>
      <c r="AB95" s="265"/>
      <c r="AC95" s="265" t="s">
        <v>243</v>
      </c>
      <c r="AD95" s="265" t="s">
        <v>244</v>
      </c>
      <c r="AE95" s="265" t="s">
        <v>245</v>
      </c>
      <c r="AF95" s="265" t="s">
        <v>246</v>
      </c>
      <c r="AG95" s="265"/>
      <c r="AH95" s="265" t="str">
        <f>IF($E$95=0,"",$E$95)</f>
        <v xml:space="preserve">Тариф на транспортировку горячей воды</v>
      </c>
      <c r="AI95" s="265" t="str">
        <f>IF($G$95=0,"",$G$95)</f>
        <v/>
      </c>
      <c r="AJ95" s="265" t="str">
        <f>IF($J$95=0,"",$J$95)</f>
        <v/>
      </c>
      <c r="AK95" s="265" t="str">
        <f>IF($K$95="нет","без дифференциации",IF($N$95=0,"",$N$95))</f>
        <v/>
      </c>
      <c r="AL95" s="265" t="str">
        <f>IF($O$95="нет","без дифференциации",IF($R$95=0,"",$R$95))</f>
        <v/>
      </c>
      <c r="AM95" s="265" t="str">
        <f>IF($S$95="нет","без дифференциации",IF($V$95=0,"",$V$95))</f>
        <v/>
      </c>
      <c r="AN95" s="282">
        <f>$I$95</f>
        <v>0</v>
      </c>
      <c r="AO95" s="265" t="str">
        <f>$I$95&amp;"."&amp;$M$95</f>
        <v>.</v>
      </c>
      <c r="AP95" s="106" t="str">
        <f>$I$95&amp;"."&amp;$M$95&amp;"."&amp;$Q$95</f>
        <v>..</v>
      </c>
      <c r="AQ95" s="106" t="str">
        <f>$I$95&amp;"."&amp;$M$95&amp;"."&amp;$Q$95&amp;"."&amp;$U$95</f>
        <v>...</v>
      </c>
    </row>
    <row r="96" s="185" customFormat="1" ht="17.25" hidden="1" customHeight="1">
      <c r="A96" s="254"/>
      <c r="C96" s="185"/>
      <c r="D96" s="255"/>
      <c r="E96" s="256"/>
      <c r="F96" s="266"/>
      <c r="G96" s="256"/>
      <c r="H96" s="267"/>
      <c r="I96" s="268"/>
      <c r="J96" s="269"/>
      <c r="K96" s="124"/>
      <c r="L96" s="124"/>
      <c r="M96" s="124"/>
      <c r="N96" s="270"/>
      <c r="O96" s="124"/>
      <c r="P96" s="124"/>
      <c r="Q96" s="124"/>
      <c r="R96" s="271"/>
      <c r="S96" s="124"/>
      <c r="T96" s="272"/>
      <c r="U96" s="272"/>
      <c r="V96" s="272"/>
      <c r="W96" s="273"/>
      <c r="X96" s="106"/>
      <c r="Y96" s="106"/>
      <c r="Z96" s="106"/>
      <c r="AA96" s="106"/>
      <c r="AB96" s="106"/>
      <c r="AC96" s="106"/>
      <c r="AD96" s="106"/>
      <c r="AE96" s="106"/>
      <c r="AF96" s="106"/>
      <c r="AG96" s="106"/>
      <c r="AH96" s="106"/>
      <c r="AI96" s="106"/>
      <c r="AJ96" s="106"/>
      <c r="AK96" s="106"/>
      <c r="AL96" s="106"/>
      <c r="AM96" s="106"/>
      <c r="AN96" s="106"/>
      <c r="AO96" s="106"/>
      <c r="AP96" s="106"/>
      <c r="AQ96" s="106"/>
    </row>
    <row r="97" s="185" customFormat="1" ht="17.25" hidden="1" customHeight="1">
      <c r="A97" s="254"/>
      <c r="C97" s="185"/>
      <c r="D97" s="275"/>
      <c r="E97" s="276"/>
      <c r="F97" s="266"/>
      <c r="G97" s="276"/>
      <c r="H97" s="267"/>
      <c r="I97" s="268"/>
      <c r="J97" s="274"/>
      <c r="K97" s="124"/>
      <c r="L97" s="124"/>
      <c r="M97" s="124"/>
      <c r="N97" s="271"/>
      <c r="O97" s="124"/>
      <c r="P97" s="124"/>
      <c r="Q97" s="272"/>
      <c r="R97" s="272"/>
      <c r="S97" s="185"/>
      <c r="T97" s="185"/>
      <c r="U97" s="185"/>
      <c r="V97" s="185"/>
      <c r="W97" s="273"/>
      <c r="X97" s="106"/>
      <c r="Y97" s="106"/>
      <c r="Z97" s="106"/>
      <c r="AA97" s="106"/>
      <c r="AB97" s="106"/>
      <c r="AC97" s="106"/>
      <c r="AD97" s="106"/>
      <c r="AE97" s="106"/>
      <c r="AF97" s="106"/>
      <c r="AG97" s="106"/>
      <c r="AH97" s="106"/>
      <c r="AI97" s="106"/>
      <c r="AJ97" s="106"/>
      <c r="AK97" s="106"/>
      <c r="AL97" s="106"/>
      <c r="AM97" s="106"/>
      <c r="AN97" s="106"/>
      <c r="AO97" s="106"/>
      <c r="AP97" s="106"/>
      <c r="AQ97" s="106"/>
    </row>
    <row r="98" s="185" customFormat="1" ht="17.25" hidden="1" customHeight="1">
      <c r="A98" s="254"/>
      <c r="C98" s="185"/>
      <c r="D98" s="275"/>
      <c r="E98" s="276"/>
      <c r="F98" s="266"/>
      <c r="G98" s="276"/>
      <c r="H98" s="267"/>
      <c r="I98" s="268"/>
      <c r="J98" s="274"/>
      <c r="K98" s="124"/>
      <c r="L98" s="272"/>
      <c r="M98" s="272"/>
      <c r="N98" s="272"/>
      <c r="O98" s="272"/>
      <c r="P98" s="272"/>
      <c r="Q98" s="272"/>
      <c r="R98" s="272"/>
      <c r="S98" s="185"/>
      <c r="T98" s="185"/>
      <c r="U98" s="185"/>
      <c r="V98" s="185"/>
      <c r="W98" s="273"/>
      <c r="X98" s="106"/>
      <c r="Y98" s="106"/>
      <c r="Z98" s="106"/>
      <c r="AA98" s="106"/>
      <c r="AB98" s="106"/>
      <c r="AC98" s="106"/>
      <c r="AD98" s="106"/>
      <c r="AE98" s="106"/>
      <c r="AF98" s="106"/>
      <c r="AG98" s="106"/>
      <c r="AH98" s="106"/>
      <c r="AI98" s="106"/>
      <c r="AJ98" s="106"/>
      <c r="AK98" s="106"/>
      <c r="AL98" s="106"/>
      <c r="AM98" s="106"/>
      <c r="AN98" s="106"/>
      <c r="AO98" s="106"/>
      <c r="AP98" s="106"/>
      <c r="AQ98" s="106"/>
    </row>
    <row r="99" s="185" customFormat="1" ht="17.25" hidden="1" customHeight="1">
      <c r="A99" s="254"/>
      <c r="C99" s="185"/>
      <c r="D99" s="275"/>
      <c r="E99" s="276"/>
      <c r="F99" s="277"/>
      <c r="G99" s="276"/>
      <c r="H99" s="278"/>
      <c r="I99" s="279"/>
      <c r="J99" s="279"/>
      <c r="K99" s="279"/>
      <c r="L99" s="279"/>
      <c r="M99" s="279"/>
      <c r="N99" s="279"/>
      <c r="O99" s="279"/>
      <c r="P99" s="279"/>
      <c r="Q99" s="279"/>
      <c r="R99" s="279"/>
      <c r="S99" s="280"/>
      <c r="T99" s="280"/>
      <c r="U99" s="280"/>
      <c r="V99" s="280"/>
      <c r="W99" s="281"/>
      <c r="X99" s="106"/>
      <c r="Y99" s="106"/>
      <c r="Z99" s="106"/>
      <c r="AA99" s="106"/>
      <c r="AB99" s="106"/>
      <c r="AC99" s="106"/>
      <c r="AD99" s="106"/>
      <c r="AE99" s="106"/>
      <c r="AF99" s="106"/>
      <c r="AG99" s="106"/>
      <c r="AH99" s="106"/>
      <c r="AI99" s="106"/>
      <c r="AJ99" s="106"/>
      <c r="AK99" s="106"/>
      <c r="AL99" s="106"/>
      <c r="AM99" s="106"/>
      <c r="AN99" s="106"/>
      <c r="AO99" s="106"/>
      <c r="AP99" s="106"/>
      <c r="AQ99" s="106"/>
    </row>
    <row r="100" s="185" customFormat="1" ht="17.25" hidden="1" customHeight="1">
      <c r="A100" s="254"/>
      <c r="C100" s="127"/>
      <c r="D100" s="255">
        <v>3</v>
      </c>
      <c r="E100" s="256" t="s">
        <v>247</v>
      </c>
      <c r="F100" s="257" t="s">
        <v>54</v>
      </c>
      <c r="G100" s="256"/>
      <c r="H100" s="258"/>
      <c r="I100" s="259"/>
      <c r="J100" s="260"/>
      <c r="K100" s="261"/>
      <c r="L100" s="261"/>
      <c r="M100" s="261"/>
      <c r="N100" s="262"/>
      <c r="O100" s="261"/>
      <c r="P100" s="261"/>
      <c r="Q100" s="261"/>
      <c r="R100" s="263"/>
      <c r="S100" s="261"/>
      <c r="T100" s="261"/>
      <c r="U100" s="261"/>
      <c r="V100" s="263"/>
      <c r="W100" s="264"/>
      <c r="X100" s="265"/>
      <c r="Y100" s="265"/>
      <c r="Z100" s="265"/>
      <c r="AA100" s="265"/>
      <c r="AB100" s="265"/>
      <c r="AC100" s="265" t="s">
        <v>248</v>
      </c>
      <c r="AD100" s="265" t="s">
        <v>249</v>
      </c>
      <c r="AE100" s="265" t="s">
        <v>250</v>
      </c>
      <c r="AF100" s="265" t="s">
        <v>251</v>
      </c>
      <c r="AG100" s="265"/>
      <c r="AH100" s="265" t="str">
        <f>IF($E$100=0,"",$E$100)</f>
        <v xml:space="preserve">Тариф на подключение (технологическое присоединение) к централизованной системе горячего водоснабжения</v>
      </c>
      <c r="AI100" s="265" t="str">
        <f>IF($G$100=0,"",$G$100)</f>
        <v/>
      </c>
      <c r="AJ100" s="265" t="str">
        <f>IF($J$100=0,"",$J$100)</f>
        <v/>
      </c>
      <c r="AK100" s="265" t="str">
        <f>IF($K$100="нет","без дифференциации",IF($N$100=0,"",$N$100))</f>
        <v/>
      </c>
      <c r="AL100" s="265" t="str">
        <f>IF($O$100="нет","без дифференциации",IF($R$100=0,"",$R$100))</f>
        <v/>
      </c>
      <c r="AM100" s="265" t="str">
        <f>IF($S$100="нет","без дифференциации",IF($V$100=0,"",$V$100))</f>
        <v/>
      </c>
      <c r="AN100" s="282">
        <f>$I$100</f>
        <v>0</v>
      </c>
      <c r="AO100" s="265" t="str">
        <f>$I$100&amp;"."&amp;$M$100</f>
        <v>.</v>
      </c>
      <c r="AP100" s="106" t="str">
        <f>$I$100&amp;"."&amp;$M$100&amp;"."&amp;$Q$100</f>
        <v>..</v>
      </c>
      <c r="AQ100" s="106" t="str">
        <f>$I$100&amp;"."&amp;$M$100&amp;"."&amp;$Q$100&amp;"."&amp;$U$100</f>
        <v>...</v>
      </c>
    </row>
    <row r="101" s="185" customFormat="1" ht="17.25" hidden="1" customHeight="1">
      <c r="A101" s="254"/>
      <c r="C101" s="185"/>
      <c r="D101" s="255"/>
      <c r="E101" s="256"/>
      <c r="F101" s="266"/>
      <c r="G101" s="256"/>
      <c r="H101" s="267"/>
      <c r="I101" s="268"/>
      <c r="J101" s="269"/>
      <c r="K101" s="124"/>
      <c r="L101" s="124"/>
      <c r="M101" s="124"/>
      <c r="N101" s="270"/>
      <c r="O101" s="124"/>
      <c r="P101" s="124"/>
      <c r="Q101" s="124"/>
      <c r="R101" s="271"/>
      <c r="S101" s="124"/>
      <c r="T101" s="272"/>
      <c r="U101" s="272"/>
      <c r="V101" s="272"/>
      <c r="W101" s="273"/>
      <c r="X101" s="106"/>
      <c r="Y101" s="106"/>
      <c r="Z101" s="106"/>
      <c r="AA101" s="106"/>
      <c r="AB101" s="106"/>
      <c r="AC101" s="106"/>
      <c r="AD101" s="106"/>
      <c r="AE101" s="106"/>
      <c r="AF101" s="106"/>
      <c r="AG101" s="106"/>
      <c r="AH101" s="106"/>
      <c r="AI101" s="106"/>
      <c r="AJ101" s="106"/>
      <c r="AK101" s="106"/>
      <c r="AL101" s="106"/>
      <c r="AM101" s="106"/>
      <c r="AN101" s="106"/>
      <c r="AO101" s="106"/>
      <c r="AP101" s="106"/>
      <c r="AQ101" s="106"/>
    </row>
    <row r="102" s="185" customFormat="1" ht="17.25" hidden="1" customHeight="1">
      <c r="A102" s="254"/>
      <c r="C102" s="185"/>
      <c r="D102" s="275"/>
      <c r="E102" s="276"/>
      <c r="F102" s="266"/>
      <c r="G102" s="276"/>
      <c r="H102" s="267"/>
      <c r="I102" s="268"/>
      <c r="J102" s="274"/>
      <c r="K102" s="124"/>
      <c r="L102" s="124"/>
      <c r="M102" s="124"/>
      <c r="N102" s="271"/>
      <c r="O102" s="124"/>
      <c r="P102" s="124"/>
      <c r="Q102" s="272"/>
      <c r="R102" s="272"/>
      <c r="S102" s="185"/>
      <c r="T102" s="185"/>
      <c r="U102" s="185"/>
      <c r="V102" s="185"/>
      <c r="W102" s="273"/>
      <c r="X102" s="106"/>
      <c r="Y102" s="106"/>
      <c r="Z102" s="106"/>
      <c r="AA102" s="106"/>
      <c r="AB102" s="106"/>
      <c r="AC102" s="106"/>
      <c r="AD102" s="106"/>
      <c r="AE102" s="106"/>
      <c r="AF102" s="106"/>
      <c r="AG102" s="106"/>
      <c r="AH102" s="106"/>
      <c r="AI102" s="106"/>
      <c r="AJ102" s="106"/>
      <c r="AK102" s="106"/>
      <c r="AL102" s="106"/>
      <c r="AM102" s="106"/>
      <c r="AN102" s="106"/>
      <c r="AO102" s="106"/>
      <c r="AP102" s="106"/>
      <c r="AQ102" s="106"/>
    </row>
    <row r="103" s="185" customFormat="1" ht="17.25" hidden="1" customHeight="1">
      <c r="A103" s="254"/>
      <c r="C103" s="185"/>
      <c r="D103" s="275"/>
      <c r="E103" s="276"/>
      <c r="F103" s="266"/>
      <c r="G103" s="276"/>
      <c r="H103" s="267"/>
      <c r="I103" s="268"/>
      <c r="J103" s="274"/>
      <c r="K103" s="124"/>
      <c r="L103" s="272"/>
      <c r="M103" s="272"/>
      <c r="N103" s="272"/>
      <c r="O103" s="272"/>
      <c r="P103" s="272"/>
      <c r="Q103" s="272"/>
      <c r="R103" s="272"/>
      <c r="S103" s="185"/>
      <c r="T103" s="185"/>
      <c r="U103" s="185"/>
      <c r="V103" s="185"/>
      <c r="W103" s="273"/>
      <c r="X103" s="106"/>
      <c r="Y103" s="106"/>
      <c r="Z103" s="106"/>
      <c r="AA103" s="106"/>
      <c r="AB103" s="106"/>
      <c r="AC103" s="106"/>
      <c r="AD103" s="106"/>
      <c r="AE103" s="106"/>
      <c r="AF103" s="106"/>
      <c r="AG103" s="106"/>
      <c r="AH103" s="106"/>
      <c r="AI103" s="106"/>
      <c r="AJ103" s="106"/>
      <c r="AK103" s="106"/>
      <c r="AL103" s="106"/>
      <c r="AM103" s="106"/>
      <c r="AN103" s="106"/>
      <c r="AO103" s="106"/>
      <c r="AP103" s="106"/>
      <c r="AQ103" s="106"/>
    </row>
    <row r="104" s="185" customFormat="1" ht="17.25" hidden="1" customHeight="1">
      <c r="A104" s="254"/>
      <c r="C104" s="185"/>
      <c r="D104" s="275"/>
      <c r="E104" s="276"/>
      <c r="F104" s="277"/>
      <c r="G104" s="276"/>
      <c r="H104" s="278"/>
      <c r="I104" s="279"/>
      <c r="J104" s="279"/>
      <c r="K104" s="279"/>
      <c r="L104" s="279"/>
      <c r="M104" s="279"/>
      <c r="N104" s="279"/>
      <c r="O104" s="279"/>
      <c r="P104" s="279"/>
      <c r="Q104" s="279"/>
      <c r="R104" s="279"/>
      <c r="S104" s="280"/>
      <c r="T104" s="280"/>
      <c r="U104" s="280"/>
      <c r="V104" s="280"/>
      <c r="W104" s="281"/>
      <c r="X104" s="106"/>
      <c r="Y104" s="106"/>
      <c r="Z104" s="106"/>
      <c r="AA104" s="106"/>
      <c r="AB104" s="106"/>
      <c r="AC104" s="106"/>
      <c r="AD104" s="106"/>
      <c r="AE104" s="106"/>
      <c r="AF104" s="106"/>
      <c r="AG104" s="106"/>
      <c r="AH104" s="106"/>
      <c r="AI104" s="106"/>
      <c r="AJ104" s="106"/>
      <c r="AK104" s="106"/>
      <c r="AL104" s="106"/>
      <c r="AM104" s="106"/>
      <c r="AN104" s="106"/>
      <c r="AO104" s="106"/>
      <c r="AP104" s="106"/>
      <c r="AQ104" s="106"/>
    </row>
    <row r="105" s="185" customFormat="1" ht="11.25" hidden="1" customHeight="1">
      <c r="A105" s="128"/>
      <c r="B105" s="128"/>
      <c r="Y105" s="106"/>
      <c r="Z105" s="106"/>
      <c r="AA105" s="106"/>
      <c r="AB105" s="106"/>
      <c r="AC105" s="106"/>
      <c r="AD105" s="106"/>
      <c r="AE105" s="106"/>
      <c r="AF105" s="106"/>
      <c r="AG105" s="106"/>
      <c r="AH105" s="106"/>
      <c r="AI105" s="106"/>
      <c r="AJ105" s="106"/>
      <c r="AK105" s="106"/>
      <c r="AL105" s="106"/>
      <c r="AM105" s="106"/>
      <c r="AN105" s="106"/>
      <c r="AO105" s="106"/>
      <c r="AP105" s="106"/>
      <c r="AQ105" s="106"/>
    </row>
    <row r="106" s="185" customFormat="1" ht="17.25" hidden="1" customHeight="1">
      <c r="A106" s="254"/>
      <c r="C106" s="127"/>
      <c r="D106" s="255">
        <v>1</v>
      </c>
      <c r="E106" s="256" t="s">
        <v>252</v>
      </c>
      <c r="F106" s="257" t="s">
        <v>54</v>
      </c>
      <c r="G106" s="256"/>
      <c r="H106" s="258"/>
      <c r="I106" s="259"/>
      <c r="J106" s="260"/>
      <c r="K106" s="261"/>
      <c r="L106" s="261"/>
      <c r="M106" s="261"/>
      <c r="N106" s="262"/>
      <c r="O106" s="261"/>
      <c r="P106" s="261"/>
      <c r="Q106" s="261"/>
      <c r="R106" s="263"/>
      <c r="S106" s="261"/>
      <c r="T106" s="261"/>
      <c r="U106" s="261"/>
      <c r="V106" s="263"/>
      <c r="W106" s="264"/>
      <c r="Y106" s="265"/>
      <c r="Z106" s="265"/>
      <c r="AA106" s="265"/>
      <c r="AB106" s="265"/>
      <c r="AC106" s="265" t="s">
        <v>253</v>
      </c>
      <c r="AD106" s="265" t="s">
        <v>254</v>
      </c>
      <c r="AE106" s="265" t="s">
        <v>255</v>
      </c>
      <c r="AF106" s="265" t="s">
        <v>256</v>
      </c>
      <c r="AG106" s="265"/>
      <c r="AH106" s="265" t="str">
        <f>IF($E$106=0,"",$E$106)</f>
        <v xml:space="preserve">Тариф на водоотведение</v>
      </c>
      <c r="AI106" s="265" t="str">
        <f>IF($G$106=0,"",$G$106)</f>
        <v/>
      </c>
      <c r="AJ106" s="265" t="str">
        <f>IF($J$106=0,"",$J$106)</f>
        <v/>
      </c>
      <c r="AK106" s="265" t="str">
        <f>IF($K$106="нет","без дифференциации",IF($N$106=0,"",$N$106))</f>
        <v/>
      </c>
      <c r="AL106" s="265" t="str">
        <f>IF($O$106="нет","без дифференциации",IF($R$106=0,"",$R$106))</f>
        <v/>
      </c>
      <c r="AM106" s="265" t="str">
        <f>IF($S$106="нет","без дифференциации",IF($V$106=0,"",$V$106))</f>
        <v/>
      </c>
      <c r="AN106" s="265">
        <f>$I$106</f>
        <v>0</v>
      </c>
      <c r="AO106" s="265" t="str">
        <f>$I$106&amp;"."&amp;$M$106</f>
        <v>.</v>
      </c>
      <c r="AP106" s="265" t="str">
        <f>$I$106&amp;"."&amp;$M$106&amp;"."&amp;$Q$106</f>
        <v>..</v>
      </c>
      <c r="AQ106" s="265" t="str">
        <f>$I$106&amp;"."&amp;$M$106&amp;"."&amp;$Q$106&amp;"."&amp;$U$106</f>
        <v>...</v>
      </c>
    </row>
    <row r="107" s="185" customFormat="1" ht="17.25" hidden="1" customHeight="1">
      <c r="A107" s="254"/>
      <c r="C107" s="185"/>
      <c r="D107" s="255"/>
      <c r="E107" s="256"/>
      <c r="F107" s="266"/>
      <c r="G107" s="256"/>
      <c r="H107" s="267"/>
      <c r="I107" s="268"/>
      <c r="J107" s="269"/>
      <c r="K107" s="124"/>
      <c r="L107" s="124"/>
      <c r="M107" s="124"/>
      <c r="N107" s="270"/>
      <c r="O107" s="124"/>
      <c r="P107" s="124"/>
      <c r="Q107" s="124"/>
      <c r="R107" s="271"/>
      <c r="S107" s="124"/>
      <c r="T107" s="272"/>
      <c r="U107" s="272"/>
      <c r="V107" s="272"/>
      <c r="W107" s="273"/>
      <c r="Y107" s="106"/>
      <c r="Z107" s="106"/>
      <c r="AA107" s="106"/>
      <c r="AB107" s="106"/>
      <c r="AC107" s="106"/>
      <c r="AD107" s="106"/>
      <c r="AE107" s="106"/>
      <c r="AF107" s="106"/>
      <c r="AG107" s="106"/>
      <c r="AH107" s="106"/>
      <c r="AI107" s="106"/>
      <c r="AJ107" s="106"/>
      <c r="AK107" s="106"/>
      <c r="AL107" s="106"/>
      <c r="AM107" s="106"/>
      <c r="AN107" s="106"/>
      <c r="AO107" s="106"/>
      <c r="AP107" s="106"/>
      <c r="AQ107" s="106"/>
    </row>
    <row r="108" s="185" customFormat="1" ht="17.25" hidden="1" customHeight="1">
      <c r="A108" s="254"/>
      <c r="C108" s="127"/>
      <c r="D108" s="255"/>
      <c r="E108" s="256"/>
      <c r="F108" s="266"/>
      <c r="G108" s="256"/>
      <c r="H108" s="267"/>
      <c r="I108" s="268"/>
      <c r="J108" s="274"/>
      <c r="K108" s="124"/>
      <c r="L108" s="124"/>
      <c r="M108" s="124"/>
      <c r="N108" s="271"/>
      <c r="O108" s="124"/>
      <c r="P108" s="124"/>
      <c r="Q108" s="272"/>
      <c r="R108" s="272"/>
      <c r="S108" s="185"/>
      <c r="T108" s="185"/>
      <c r="U108" s="185"/>
      <c r="V108" s="185"/>
      <c r="W108" s="273"/>
      <c r="Y108" s="265"/>
      <c r="Z108" s="265"/>
      <c r="AA108" s="265"/>
      <c r="AB108" s="265"/>
      <c r="AC108" s="265"/>
      <c r="AD108" s="265"/>
      <c r="AE108" s="265"/>
      <c r="AF108" s="265"/>
      <c r="AG108" s="265"/>
      <c r="AH108" s="265"/>
      <c r="AI108" s="265"/>
      <c r="AJ108" s="265"/>
      <c r="AK108" s="265"/>
      <c r="AL108" s="265"/>
      <c r="AM108" s="265"/>
      <c r="AN108" s="265"/>
      <c r="AO108" s="265"/>
      <c r="AP108" s="265"/>
      <c r="AQ108" s="265"/>
    </row>
    <row r="109" s="185" customFormat="1" ht="17.25" hidden="1" customHeight="1">
      <c r="A109" s="254"/>
      <c r="C109" s="185"/>
      <c r="D109" s="255"/>
      <c r="E109" s="256"/>
      <c r="F109" s="266"/>
      <c r="G109" s="256"/>
      <c r="H109" s="267"/>
      <c r="I109" s="268"/>
      <c r="J109" s="274"/>
      <c r="K109" s="124"/>
      <c r="L109" s="272"/>
      <c r="M109" s="272"/>
      <c r="N109" s="272"/>
      <c r="O109" s="272"/>
      <c r="P109" s="272"/>
      <c r="Q109" s="272"/>
      <c r="R109" s="272"/>
      <c r="S109" s="185"/>
      <c r="T109" s="185"/>
      <c r="U109" s="185"/>
      <c r="V109" s="185"/>
      <c r="W109" s="273"/>
      <c r="Y109" s="106"/>
      <c r="Z109" s="106"/>
      <c r="AA109" s="106"/>
      <c r="AB109" s="106"/>
      <c r="AC109" s="106"/>
      <c r="AD109" s="106"/>
      <c r="AE109" s="106"/>
      <c r="AF109" s="106"/>
      <c r="AG109" s="106"/>
      <c r="AH109" s="106"/>
      <c r="AI109" s="106"/>
      <c r="AJ109" s="106"/>
      <c r="AK109" s="106"/>
      <c r="AL109" s="106"/>
      <c r="AM109" s="106"/>
      <c r="AN109" s="106"/>
      <c r="AO109" s="106"/>
      <c r="AP109" s="106"/>
      <c r="AQ109" s="106"/>
    </row>
    <row r="110" s="185" customFormat="1" ht="17.25" hidden="1" customHeight="1">
      <c r="A110" s="254"/>
      <c r="C110" s="185"/>
      <c r="D110" s="275"/>
      <c r="E110" s="276"/>
      <c r="F110" s="277"/>
      <c r="G110" s="276"/>
      <c r="H110" s="278"/>
      <c r="I110" s="279"/>
      <c r="J110" s="279"/>
      <c r="K110" s="279"/>
      <c r="L110" s="279"/>
      <c r="M110" s="279"/>
      <c r="N110" s="279"/>
      <c r="O110" s="279"/>
      <c r="P110" s="279"/>
      <c r="Q110" s="279"/>
      <c r="R110" s="279"/>
      <c r="S110" s="280"/>
      <c r="T110" s="280"/>
      <c r="U110" s="280"/>
      <c r="V110" s="280"/>
      <c r="W110" s="281"/>
      <c r="Y110" s="106"/>
      <c r="Z110" s="106"/>
      <c r="AA110" s="106"/>
      <c r="AB110" s="106"/>
      <c r="AC110" s="106"/>
      <c r="AD110" s="106"/>
      <c r="AE110" s="106"/>
      <c r="AF110" s="106"/>
      <c r="AG110" s="106"/>
      <c r="AH110" s="106"/>
      <c r="AI110" s="106"/>
      <c r="AJ110" s="106"/>
      <c r="AK110" s="106"/>
      <c r="AL110" s="106"/>
      <c r="AM110" s="106"/>
      <c r="AN110" s="106"/>
      <c r="AO110" s="106"/>
      <c r="AP110" s="106"/>
      <c r="AQ110" s="106"/>
    </row>
    <row r="111" s="185" customFormat="1" ht="17.25" hidden="1" customHeight="1">
      <c r="A111" s="254"/>
      <c r="C111" s="127"/>
      <c r="D111" s="255">
        <v>2</v>
      </c>
      <c r="E111" s="256" t="s">
        <v>257</v>
      </c>
      <c r="F111" s="257" t="s">
        <v>54</v>
      </c>
      <c r="G111" s="256"/>
      <c r="H111" s="258"/>
      <c r="I111" s="259"/>
      <c r="J111" s="260"/>
      <c r="K111" s="261"/>
      <c r="L111" s="261"/>
      <c r="M111" s="261"/>
      <c r="N111" s="262"/>
      <c r="O111" s="261"/>
      <c r="P111" s="261"/>
      <c r="Q111" s="261"/>
      <c r="R111" s="263"/>
      <c r="S111" s="261"/>
      <c r="T111" s="261"/>
      <c r="U111" s="261"/>
      <c r="V111" s="263"/>
      <c r="W111" s="264"/>
      <c r="X111" s="265"/>
      <c r="Y111" s="265"/>
      <c r="Z111" s="265"/>
      <c r="AA111" s="265"/>
      <c r="AB111" s="265"/>
      <c r="AC111" s="265" t="s">
        <v>258</v>
      </c>
      <c r="AD111" s="265" t="s">
        <v>259</v>
      </c>
      <c r="AE111" s="265" t="s">
        <v>260</v>
      </c>
      <c r="AF111" s="265" t="s">
        <v>261</v>
      </c>
      <c r="AG111" s="265"/>
      <c r="AH111" s="265" t="str">
        <f>IF($E$111=0,"",$E$111)</f>
        <v xml:space="preserve">Тариф на транспортировку сточных вод</v>
      </c>
      <c r="AI111" s="265" t="str">
        <f>IF($G$111=0,"",$G$111)</f>
        <v/>
      </c>
      <c r="AJ111" s="265" t="str">
        <f>IF($J$111=0,"",$J$111)</f>
        <v/>
      </c>
      <c r="AK111" s="265" t="str">
        <f>IF($K$111="нет","без дифференциации",IF($N$111=0,"",$N$111))</f>
        <v/>
      </c>
      <c r="AL111" s="265" t="str">
        <f>IF($O$111="нет","без дифференциации",IF($R$111=0,"",$R$111))</f>
        <v/>
      </c>
      <c r="AM111" s="265" t="str">
        <f>IF($S$111="нет","без дифференциации",IF($V$111=0,"",$V$111))</f>
        <v/>
      </c>
      <c r="AN111" s="282">
        <f>$I$111</f>
        <v>0</v>
      </c>
      <c r="AO111" s="265" t="str">
        <f>$I$111&amp;"."&amp;$M$111</f>
        <v>.</v>
      </c>
      <c r="AP111" s="106" t="str">
        <f>$I$111&amp;"."&amp;$M$111&amp;"."&amp;$Q$111</f>
        <v>..</v>
      </c>
      <c r="AQ111" s="106" t="str">
        <f>$I$111&amp;"."&amp;$M$111&amp;"."&amp;$Q$111&amp;"."&amp;$U$111</f>
        <v>...</v>
      </c>
    </row>
    <row r="112" s="185" customFormat="1" ht="17.25" hidden="1" customHeight="1">
      <c r="A112" s="254"/>
      <c r="C112" s="185"/>
      <c r="D112" s="255"/>
      <c r="E112" s="256"/>
      <c r="F112" s="266"/>
      <c r="G112" s="256"/>
      <c r="H112" s="267"/>
      <c r="I112" s="268"/>
      <c r="J112" s="269"/>
      <c r="K112" s="124"/>
      <c r="L112" s="124"/>
      <c r="M112" s="124"/>
      <c r="N112" s="270"/>
      <c r="O112" s="124"/>
      <c r="P112" s="124"/>
      <c r="Q112" s="124"/>
      <c r="R112" s="271"/>
      <c r="S112" s="124"/>
      <c r="T112" s="272"/>
      <c r="U112" s="272"/>
      <c r="V112" s="272"/>
      <c r="W112" s="273"/>
      <c r="X112" s="106"/>
      <c r="Y112" s="106"/>
      <c r="Z112" s="106"/>
      <c r="AA112" s="106"/>
      <c r="AB112" s="106"/>
      <c r="AC112" s="106"/>
      <c r="AD112" s="106"/>
      <c r="AE112" s="106"/>
      <c r="AF112" s="106"/>
      <c r="AG112" s="106"/>
      <c r="AH112" s="106"/>
      <c r="AI112" s="106"/>
      <c r="AJ112" s="106"/>
      <c r="AK112" s="106"/>
      <c r="AL112" s="106"/>
      <c r="AM112" s="106"/>
      <c r="AN112" s="106"/>
      <c r="AO112" s="106"/>
      <c r="AP112" s="106"/>
      <c r="AQ112" s="106"/>
    </row>
    <row r="113" s="185" customFormat="1" ht="17.25" hidden="1" customHeight="1">
      <c r="A113" s="254"/>
      <c r="C113" s="185"/>
      <c r="D113" s="275"/>
      <c r="E113" s="276"/>
      <c r="F113" s="266"/>
      <c r="G113" s="276"/>
      <c r="H113" s="267"/>
      <c r="I113" s="268"/>
      <c r="J113" s="274"/>
      <c r="K113" s="124"/>
      <c r="L113" s="124"/>
      <c r="M113" s="124"/>
      <c r="N113" s="271"/>
      <c r="O113" s="124"/>
      <c r="P113" s="124"/>
      <c r="Q113" s="272"/>
      <c r="R113" s="272"/>
      <c r="S113" s="185"/>
      <c r="T113" s="185"/>
      <c r="U113" s="185"/>
      <c r="V113" s="185"/>
      <c r="W113" s="273"/>
      <c r="X113" s="106"/>
      <c r="Y113" s="106"/>
      <c r="Z113" s="106"/>
      <c r="AA113" s="106"/>
      <c r="AB113" s="106"/>
      <c r="AC113" s="106"/>
      <c r="AD113" s="106"/>
      <c r="AE113" s="106"/>
      <c r="AF113" s="106"/>
      <c r="AG113" s="106"/>
      <c r="AH113" s="106"/>
      <c r="AI113" s="106"/>
      <c r="AJ113" s="106"/>
      <c r="AK113" s="106"/>
      <c r="AL113" s="106"/>
      <c r="AM113" s="106"/>
      <c r="AN113" s="106"/>
      <c r="AO113" s="106"/>
      <c r="AP113" s="106"/>
      <c r="AQ113" s="106"/>
    </row>
    <row r="114" s="185" customFormat="1" ht="17.25" hidden="1" customHeight="1">
      <c r="A114" s="254"/>
      <c r="C114" s="185"/>
      <c r="D114" s="275"/>
      <c r="E114" s="276"/>
      <c r="F114" s="266"/>
      <c r="G114" s="276"/>
      <c r="H114" s="267"/>
      <c r="I114" s="268"/>
      <c r="J114" s="274"/>
      <c r="K114" s="124"/>
      <c r="L114" s="272"/>
      <c r="M114" s="272"/>
      <c r="N114" s="272"/>
      <c r="O114" s="272"/>
      <c r="P114" s="272"/>
      <c r="Q114" s="272"/>
      <c r="R114" s="272"/>
      <c r="S114" s="185"/>
      <c r="T114" s="185"/>
      <c r="U114" s="185"/>
      <c r="V114" s="185"/>
      <c r="W114" s="273"/>
      <c r="X114" s="106"/>
      <c r="Y114" s="106"/>
      <c r="Z114" s="106"/>
      <c r="AA114" s="106"/>
      <c r="AB114" s="106"/>
      <c r="AC114" s="106"/>
      <c r="AD114" s="106"/>
      <c r="AE114" s="106"/>
      <c r="AF114" s="106"/>
      <c r="AG114" s="106"/>
      <c r="AH114" s="106"/>
      <c r="AI114" s="106"/>
      <c r="AJ114" s="106"/>
      <c r="AK114" s="106"/>
      <c r="AL114" s="106"/>
      <c r="AM114" s="106"/>
      <c r="AN114" s="106"/>
      <c r="AO114" s="106"/>
      <c r="AP114" s="106"/>
      <c r="AQ114" s="106"/>
    </row>
    <row r="115" s="185" customFormat="1" ht="17.25" hidden="1" customHeight="1">
      <c r="A115" s="254"/>
      <c r="C115" s="185"/>
      <c r="D115" s="275"/>
      <c r="E115" s="276"/>
      <c r="F115" s="277"/>
      <c r="G115" s="276"/>
      <c r="H115" s="278"/>
      <c r="I115" s="279"/>
      <c r="J115" s="279"/>
      <c r="K115" s="279"/>
      <c r="L115" s="279"/>
      <c r="M115" s="279"/>
      <c r="N115" s="279"/>
      <c r="O115" s="279"/>
      <c r="P115" s="279"/>
      <c r="Q115" s="279"/>
      <c r="R115" s="279"/>
      <c r="S115" s="280"/>
      <c r="T115" s="280"/>
      <c r="U115" s="280"/>
      <c r="V115" s="280"/>
      <c r="W115" s="281"/>
      <c r="X115" s="106"/>
      <c r="Y115" s="106"/>
      <c r="Z115" s="106"/>
      <c r="AA115" s="106"/>
      <c r="AB115" s="106"/>
      <c r="AC115" s="106"/>
      <c r="AD115" s="106"/>
      <c r="AE115" s="106"/>
      <c r="AF115" s="106"/>
      <c r="AG115" s="106"/>
      <c r="AH115" s="106"/>
      <c r="AI115" s="106"/>
      <c r="AJ115" s="106"/>
      <c r="AK115" s="106"/>
      <c r="AL115" s="106"/>
      <c r="AM115" s="106"/>
      <c r="AN115" s="106"/>
      <c r="AO115" s="106"/>
      <c r="AP115" s="106"/>
      <c r="AQ115" s="106"/>
    </row>
    <row r="116" s="185" customFormat="1" ht="17.25" hidden="1" customHeight="1">
      <c r="A116" s="254"/>
      <c r="C116" s="127"/>
      <c r="D116" s="255">
        <v>3</v>
      </c>
      <c r="E116" s="256" t="s">
        <v>262</v>
      </c>
      <c r="F116" s="257" t="s">
        <v>54</v>
      </c>
      <c r="G116" s="256"/>
      <c r="H116" s="258"/>
      <c r="I116" s="259"/>
      <c r="J116" s="260"/>
      <c r="K116" s="261"/>
      <c r="L116" s="261"/>
      <c r="M116" s="261"/>
      <c r="N116" s="262"/>
      <c r="O116" s="261"/>
      <c r="P116" s="261"/>
      <c r="Q116" s="261"/>
      <c r="R116" s="263"/>
      <c r="S116" s="261"/>
      <c r="T116" s="261"/>
      <c r="U116" s="261"/>
      <c r="V116" s="263"/>
      <c r="W116" s="264"/>
      <c r="X116" s="265"/>
      <c r="Y116" s="265"/>
      <c r="Z116" s="265"/>
      <c r="AA116" s="265"/>
      <c r="AB116" s="265"/>
      <c r="AC116" s="265" t="s">
        <v>263</v>
      </c>
      <c r="AD116" s="265" t="s">
        <v>264</v>
      </c>
      <c r="AE116" s="265" t="s">
        <v>265</v>
      </c>
      <c r="AF116" s="265" t="s">
        <v>266</v>
      </c>
      <c r="AG116" s="265"/>
      <c r="AH116" s="265" t="str">
        <f>IF($E$116=0,"",$E$116)</f>
        <v xml:space="preserve">Тариф на подключение (технологическое присоединение) к централизованной системе водоотведения</v>
      </c>
      <c r="AI116" s="265" t="str">
        <f>IF($G$116=0,"",$G$116)</f>
        <v/>
      </c>
      <c r="AJ116" s="265" t="str">
        <f>IF($J$116=0,"",$J$116)</f>
        <v/>
      </c>
      <c r="AK116" s="265" t="str">
        <f>IF($K$116="нет","без дифференциации",IF($N$116=0,"",$N$116))</f>
        <v/>
      </c>
      <c r="AL116" s="265" t="str">
        <f>IF($O$116="нет","без дифференциации",IF($R$116=0,"",$R$116))</f>
        <v/>
      </c>
      <c r="AM116" s="265" t="str">
        <f>IF($S$116="нет","без дифференциации",IF($V$116=0,"",$V$116))</f>
        <v/>
      </c>
      <c r="AN116" s="282">
        <f>$I$116</f>
        <v>0</v>
      </c>
      <c r="AO116" s="265" t="str">
        <f>$I$116&amp;"."&amp;$M$116</f>
        <v>.</v>
      </c>
      <c r="AP116" s="106" t="str">
        <f>$I$116&amp;"."&amp;$M$116&amp;"."&amp;$Q$116</f>
        <v>..</v>
      </c>
      <c r="AQ116" s="106" t="str">
        <f>$I$116&amp;"."&amp;$M$116&amp;"."&amp;$Q$116&amp;"."&amp;$U$116</f>
        <v>...</v>
      </c>
    </row>
    <row r="117" s="185" customFormat="1" ht="17.25" hidden="1" customHeight="1">
      <c r="A117" s="254"/>
      <c r="C117" s="185"/>
      <c r="D117" s="255"/>
      <c r="E117" s="256"/>
      <c r="F117" s="266"/>
      <c r="G117" s="256"/>
      <c r="H117" s="267"/>
      <c r="I117" s="268"/>
      <c r="J117" s="269"/>
      <c r="K117" s="124"/>
      <c r="L117" s="124"/>
      <c r="M117" s="124"/>
      <c r="N117" s="270"/>
      <c r="O117" s="124"/>
      <c r="P117" s="124"/>
      <c r="Q117" s="124"/>
      <c r="R117" s="271"/>
      <c r="S117" s="124"/>
      <c r="T117" s="272"/>
      <c r="U117" s="272"/>
      <c r="V117" s="272"/>
      <c r="W117" s="273"/>
      <c r="X117" s="106"/>
      <c r="Y117" s="106"/>
      <c r="Z117" s="106"/>
      <c r="AA117" s="106"/>
      <c r="AB117" s="106"/>
      <c r="AC117" s="106"/>
      <c r="AD117" s="106"/>
      <c r="AE117" s="106"/>
      <c r="AF117" s="106"/>
      <c r="AG117" s="106"/>
      <c r="AH117" s="106"/>
      <c r="AI117" s="106"/>
      <c r="AJ117" s="106"/>
      <c r="AK117" s="106"/>
      <c r="AL117" s="106"/>
      <c r="AM117" s="106"/>
      <c r="AN117" s="106"/>
      <c r="AO117" s="106"/>
      <c r="AP117" s="106"/>
      <c r="AQ117" s="106"/>
    </row>
    <row r="118" s="185" customFormat="1" ht="17.25" hidden="1" customHeight="1">
      <c r="A118" s="254"/>
      <c r="C118" s="185"/>
      <c r="D118" s="275"/>
      <c r="E118" s="276"/>
      <c r="F118" s="266"/>
      <c r="G118" s="276"/>
      <c r="H118" s="267"/>
      <c r="I118" s="268"/>
      <c r="J118" s="274"/>
      <c r="K118" s="124"/>
      <c r="L118" s="124"/>
      <c r="M118" s="124"/>
      <c r="N118" s="271"/>
      <c r="O118" s="124"/>
      <c r="P118" s="124"/>
      <c r="Q118" s="272"/>
      <c r="R118" s="272"/>
      <c r="S118" s="185"/>
      <c r="T118" s="185"/>
      <c r="U118" s="185"/>
      <c r="V118" s="185"/>
      <c r="W118" s="273"/>
      <c r="X118" s="106"/>
      <c r="Y118" s="106"/>
      <c r="Z118" s="106"/>
      <c r="AA118" s="106"/>
      <c r="AB118" s="106"/>
      <c r="AC118" s="106"/>
      <c r="AD118" s="106"/>
      <c r="AE118" s="106"/>
      <c r="AF118" s="106"/>
      <c r="AG118" s="106"/>
      <c r="AH118" s="106"/>
      <c r="AI118" s="106"/>
      <c r="AJ118" s="106"/>
      <c r="AK118" s="106"/>
      <c r="AL118" s="106"/>
      <c r="AM118" s="106"/>
      <c r="AN118" s="106"/>
      <c r="AO118" s="106"/>
      <c r="AP118" s="106"/>
      <c r="AQ118" s="106"/>
    </row>
    <row r="119" s="185" customFormat="1" ht="17.25" hidden="1" customHeight="1">
      <c r="A119" s="254"/>
      <c r="C119" s="185"/>
      <c r="D119" s="275"/>
      <c r="E119" s="276"/>
      <c r="F119" s="266"/>
      <c r="G119" s="276"/>
      <c r="H119" s="267"/>
      <c r="I119" s="268"/>
      <c r="J119" s="274"/>
      <c r="K119" s="124"/>
      <c r="L119" s="272"/>
      <c r="M119" s="272"/>
      <c r="N119" s="272"/>
      <c r="O119" s="272"/>
      <c r="P119" s="272"/>
      <c r="Q119" s="272"/>
      <c r="R119" s="272"/>
      <c r="S119" s="185"/>
      <c r="T119" s="185"/>
      <c r="U119" s="185"/>
      <c r="V119" s="185"/>
      <c r="W119" s="273"/>
      <c r="X119" s="106"/>
      <c r="Y119" s="106"/>
      <c r="Z119" s="106"/>
      <c r="AA119" s="106"/>
      <c r="AB119" s="106"/>
      <c r="AC119" s="106"/>
      <c r="AD119" s="106"/>
      <c r="AE119" s="106"/>
      <c r="AF119" s="106"/>
      <c r="AG119" s="106"/>
      <c r="AH119" s="106"/>
      <c r="AI119" s="106"/>
      <c r="AJ119" s="106"/>
      <c r="AK119" s="106"/>
      <c r="AL119" s="106"/>
      <c r="AM119" s="106"/>
      <c r="AN119" s="106"/>
      <c r="AO119" s="106"/>
      <c r="AP119" s="106"/>
      <c r="AQ119" s="106"/>
    </row>
    <row r="120" s="185" customFormat="1" ht="17.25" hidden="1" customHeight="1">
      <c r="A120" s="254"/>
      <c r="C120" s="185"/>
      <c r="D120" s="275"/>
      <c r="E120" s="276"/>
      <c r="F120" s="277"/>
      <c r="G120" s="276"/>
      <c r="H120" s="278"/>
      <c r="I120" s="279"/>
      <c r="J120" s="279"/>
      <c r="K120" s="279"/>
      <c r="L120" s="279"/>
      <c r="M120" s="279"/>
      <c r="N120" s="279"/>
      <c r="O120" s="279"/>
      <c r="P120" s="279"/>
      <c r="Q120" s="279"/>
      <c r="R120" s="279"/>
      <c r="S120" s="280"/>
      <c r="T120" s="280"/>
      <c r="U120" s="280"/>
      <c r="V120" s="280"/>
      <c r="W120" s="281"/>
      <c r="X120" s="106"/>
      <c r="Y120" s="106"/>
      <c r="Z120" s="106"/>
      <c r="AA120" s="106"/>
      <c r="AB120" s="106"/>
      <c r="AC120" s="106"/>
      <c r="AD120" s="106"/>
      <c r="AE120" s="106"/>
      <c r="AF120" s="106"/>
      <c r="AG120" s="106"/>
      <c r="AH120" s="106"/>
      <c r="AI120" s="106"/>
      <c r="AJ120" s="106"/>
      <c r="AK120" s="106"/>
      <c r="AL120" s="106"/>
      <c r="AM120" s="106"/>
      <c r="AN120" s="106"/>
      <c r="AO120" s="106"/>
      <c r="AP120" s="106"/>
      <c r="AQ120" s="106"/>
    </row>
    <row r="124" ht="11.25" customHeight="1">
      <c r="E124" s="185"/>
    </row>
    <row r="125" ht="11.25" customHeight="1">
      <c r="E125" s="185"/>
    </row>
    <row r="126" ht="11.25" customHeight="1">
      <c r="E126" s="185"/>
    </row>
    <row r="127" ht="11.25" customHeight="1">
      <c r="E127" s="185"/>
    </row>
    <row r="128" ht="11.25" customHeight="1">
      <c r="E128" s="185"/>
    </row>
    <row r="129" ht="11.25" customHeight="1">
      <c r="E129" s="185"/>
    </row>
    <row r="130" ht="11.25" customHeight="1">
      <c r="E130" s="185"/>
    </row>
  </sheetData>
  <sheetProtection autoFilter="0" deleteColumns="0" deleteRows="0" formatCells="1" formatColumns="0" formatRows="0" insertColumns="1" insertHyperlinks="1" insertRows="0" pivotTables="1" selectLockedCells="0" selectUnlockedCells="0" sheet="0" sort="0"/>
  <mergeCells count="331">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E54:W54"/>
    <mergeCell ref="E55:W55"/>
    <mergeCell ref="E56:W56"/>
    <mergeCell ref="E57:W57"/>
    <mergeCell ref="E58:W58"/>
    <mergeCell ref="E60:W60"/>
    <mergeCell ref="E61:W61"/>
    <mergeCell ref="E62:W62"/>
    <mergeCell ref="D64:D68"/>
    <mergeCell ref="E64:E68"/>
    <mergeCell ref="F64:F68"/>
    <mergeCell ref="G64:G68"/>
    <mergeCell ref="H64:H67"/>
    <mergeCell ref="I64:I67"/>
    <mergeCell ref="J64:J67"/>
    <mergeCell ref="K64:K67"/>
    <mergeCell ref="L64:L66"/>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5:D99"/>
    <mergeCell ref="E95:E99"/>
    <mergeCell ref="F95:F99"/>
    <mergeCell ref="G95:G99"/>
    <mergeCell ref="H95:H98"/>
    <mergeCell ref="I95:I98"/>
    <mergeCell ref="J95:J98"/>
    <mergeCell ref="K95:K98"/>
    <mergeCell ref="L95:L97"/>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1:D115"/>
    <mergeCell ref="E111:E115"/>
    <mergeCell ref="F111:F115"/>
    <mergeCell ref="G111:G115"/>
    <mergeCell ref="H111:H114"/>
    <mergeCell ref="I111:I114"/>
    <mergeCell ref="J111:J114"/>
    <mergeCell ref="K111:K114"/>
    <mergeCell ref="L111:L113"/>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s>
  <dataValidations count="2" disablePrompts="0">
    <dataValidation sqref="G13:G52 G64:G88 G90:G104 G106:G120"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000C1-00E0-4E3D-A1B6-005600A700A1}"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N43:N45 N18:N20 N38:N40 N23:N25 N33:N35 N13:N15 N28:N30 N64:N66 N79:N81 N84:N86 N69:N71 N74:N76 N48:N50 N90:N92 N95:N97 N100:N102 N111:N113 N106:N108 N116:N118</xm:sqref>
        </x14:dataValidation>
        <x14:dataValidation xr:uid="{00F00092-00E3-4E32-8A22-009000BB0062}" type="textLength" allowBlank="1" error="Допускается ввод не более 900 символов!" errorStyle="stop" errorTitle="Ошибка" imeMode="noControl" operator="lessThanOrEqual" showDropDown="0" showErrorMessage="1" showInputMessage="1">
          <x14:formula1>
            <xm:f>900</xm:f>
          </x14:formula1>
          <xm: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3" zoomScale="90" workbookViewId="0">
      <selection activeCell="A1" activeCellId="0" sqref="A1"/>
    </sheetView>
  </sheetViews>
  <sheetFormatPr defaultColWidth="9.140625" defaultRowHeight="11.25" customHeight="1"/>
  <cols>
    <col hidden="1" min="1" max="2" style="63" width="9.140625"/>
    <col customWidth="1" min="3" max="4" style="63" width="3.7109375"/>
    <col customWidth="1" min="5" max="6" style="63" width="16.00390625"/>
    <col customWidth="1" min="7" max="7" style="63" width="11.57421875"/>
    <col customWidth="1" min="8" max="9" style="63" width="3.7109375"/>
    <col customWidth="1" min="10" max="10" style="63" width="13.140625"/>
    <col customWidth="1" min="11" max="11" style="63" width="0.28125"/>
    <col customWidth="1" min="12" max="13" style="63" width="10.7109375"/>
    <col customWidth="1" min="14" max="15" style="63" width="3.7109375"/>
    <col customWidth="1" min="16" max="16" style="63" width="19.7109375"/>
    <col customWidth="1" min="17" max="17" style="63" width="0.28125"/>
    <col customWidth="1" min="18" max="19" style="63" width="10.7109375"/>
    <col customWidth="1" min="20" max="21" style="63" width="3.7109375"/>
    <col customWidth="1" min="22" max="22" style="63" width="25.7109375"/>
    <col customWidth="1" min="23" max="23" style="63" width="0.28125"/>
    <col customWidth="1" min="24" max="25" style="63" width="10.7109375"/>
    <col customWidth="1" min="26" max="27" style="63" width="3.7109375"/>
    <col customWidth="1" min="28" max="28" style="63" width="16.421875"/>
    <col customWidth="1" min="29" max="29" style="63" width="0.28125"/>
    <col customWidth="1" min="30" max="31" style="63" width="10.7109375"/>
    <col customWidth="1" min="32" max="33" style="63" width="3.7109375"/>
    <col customWidth="1" min="34" max="34" style="63" width="8.7109375"/>
    <col customWidth="1" min="35" max="35" style="63" width="21.7109375"/>
    <col min="36" max="36" style="63" width="9.140625"/>
    <col min="37" max="37" style="293" width="9.140625"/>
    <col min="38" max="64" style="63" width="9.140625"/>
  </cols>
  <sheetData>
    <row r="1" s="166" customFormat="1" ht="11.25" hidden="1" customHeight="1">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row>
    <row r="2" s="294" customFormat="1" ht="11.25" hidden="1" customHeight="1">
      <c r="L2" s="294" t="s">
        <v>267</v>
      </c>
      <c r="M2" s="294" t="s">
        <v>268</v>
      </c>
      <c r="R2" s="294" t="s">
        <v>269</v>
      </c>
      <c r="S2" s="294" t="s">
        <v>268</v>
      </c>
      <c r="X2" s="294" t="s">
        <v>267</v>
      </c>
      <c r="Y2" s="294" t="s">
        <v>268</v>
      </c>
      <c r="AD2" s="294" t="s">
        <v>267</v>
      </c>
      <c r="AE2" s="294" t="s">
        <v>268</v>
      </c>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row>
    <row r="3" s="296" customFormat="1" ht="11.25" customHeight="1">
      <c r="AK3" s="293"/>
    </row>
    <row r="4" s="138" customFormat="1" ht="33" customHeight="1">
      <c r="A4" s="56"/>
      <c r="B4" s="50"/>
      <c r="C4" s="127"/>
      <c r="D4" s="297" t="s">
        <v>270</v>
      </c>
      <c r="E4" s="297"/>
      <c r="F4" s="297"/>
      <c r="G4" s="297"/>
      <c r="H4" s="297"/>
      <c r="I4" s="297"/>
      <c r="J4" s="297"/>
      <c r="K4" s="298"/>
      <c r="T4" s="299"/>
      <c r="AJ4" s="300"/>
      <c r="AK4" s="301"/>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row>
    <row r="5" s="138" customFormat="1" ht="14.25" customHeight="1">
      <c r="A5" s="56"/>
      <c r="B5" s="50"/>
      <c r="C5" s="127"/>
      <c r="D5" s="302" t="str">
        <f>IF(org=0,"Не определено",org)</f>
        <v xml:space="preserve">филиал ПАО "ОГК-2" - Адлерская ТЭС</v>
      </c>
      <c r="E5" s="302"/>
      <c r="F5" s="302"/>
      <c r="G5" s="302"/>
      <c r="H5" s="302"/>
      <c r="I5" s="302"/>
      <c r="J5" s="302"/>
      <c r="K5" s="298"/>
      <c r="T5" s="299"/>
      <c r="AJ5" s="300"/>
      <c r="AK5" s="301"/>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row>
    <row r="6" s="138" customFormat="1" ht="14.25" customHeight="1">
      <c r="A6" s="56"/>
      <c r="B6" s="50"/>
      <c r="C6" s="127"/>
      <c r="D6" s="298"/>
      <c r="E6" s="298"/>
      <c r="F6" s="298"/>
      <c r="G6" s="298"/>
      <c r="H6" s="298"/>
      <c r="I6" s="298"/>
      <c r="J6" s="298"/>
      <c r="K6" s="298"/>
      <c r="T6" s="299"/>
      <c r="AJ6" s="300"/>
      <c r="AK6" s="301"/>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row>
    <row r="7" s="166" customFormat="1" ht="0.75" customHeight="1">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row>
    <row r="8" ht="31.5" customHeight="1">
      <c r="D8" s="156" t="s">
        <v>85</v>
      </c>
      <c r="E8" s="156" t="s">
        <v>107</v>
      </c>
      <c r="F8" s="303" t="s">
        <v>124</v>
      </c>
      <c r="G8" s="304"/>
      <c r="H8" s="303" t="s">
        <v>85</v>
      </c>
      <c r="I8" s="304"/>
      <c r="J8" s="156" t="s">
        <v>125</v>
      </c>
      <c r="K8" s="305"/>
      <c r="L8" s="306" t="s">
        <v>271</v>
      </c>
      <c r="M8" s="306"/>
      <c r="N8" s="306"/>
      <c r="O8" s="306"/>
      <c r="P8" s="306"/>
      <c r="Q8" s="303"/>
      <c r="R8" s="73" t="s">
        <v>272</v>
      </c>
      <c r="S8" s="144"/>
      <c r="T8" s="144"/>
      <c r="U8" s="144"/>
      <c r="V8" s="144"/>
      <c r="W8" s="303"/>
      <c r="X8" s="156" t="s">
        <v>273</v>
      </c>
      <c r="Y8" s="156"/>
      <c r="Z8" s="156"/>
      <c r="AA8" s="156"/>
      <c r="AB8" s="156"/>
      <c r="AC8" s="306"/>
      <c r="AD8" s="156" t="s">
        <v>274</v>
      </c>
      <c r="AE8" s="156"/>
      <c r="AF8" s="156"/>
      <c r="AG8" s="156"/>
      <c r="AH8" s="73"/>
      <c r="AI8" s="156" t="s">
        <v>275</v>
      </c>
    </row>
    <row r="9" ht="22.5" customHeight="1">
      <c r="D9" s="156"/>
      <c r="E9" s="156"/>
      <c r="F9" s="306" t="s">
        <v>86</v>
      </c>
      <c r="G9" s="306" t="s">
        <v>130</v>
      </c>
      <c r="H9" s="307"/>
      <c r="I9" s="308"/>
      <c r="J9" s="73"/>
      <c r="K9" s="307"/>
      <c r="L9" s="156" t="s">
        <v>276</v>
      </c>
      <c r="M9" s="73"/>
      <c r="N9" s="303" t="s">
        <v>85</v>
      </c>
      <c r="O9" s="304"/>
      <c r="P9" s="156" t="s">
        <v>131</v>
      </c>
      <c r="Q9" s="305"/>
      <c r="R9" s="156" t="s">
        <v>276</v>
      </c>
      <c r="S9" s="73"/>
      <c r="T9" s="303" t="s">
        <v>85</v>
      </c>
      <c r="U9" s="304"/>
      <c r="V9" s="156" t="s">
        <v>131</v>
      </c>
      <c r="W9" s="305"/>
      <c r="X9" s="156" t="s">
        <v>276</v>
      </c>
      <c r="Y9" s="73"/>
      <c r="Z9" s="303" t="s">
        <v>85</v>
      </c>
      <c r="AA9" s="304"/>
      <c r="AB9" s="156" t="s">
        <v>277</v>
      </c>
      <c r="AC9" s="305"/>
      <c r="AD9" s="156" t="s">
        <v>276</v>
      </c>
      <c r="AE9" s="73"/>
      <c r="AF9" s="303" t="s">
        <v>85</v>
      </c>
      <c r="AG9" s="304"/>
      <c r="AH9" s="73" t="s">
        <v>277</v>
      </c>
      <c r="AI9" s="156"/>
    </row>
    <row r="10" ht="22.5" customHeight="1">
      <c r="D10" s="306"/>
      <c r="E10" s="306"/>
      <c r="F10" s="305"/>
      <c r="G10" s="305"/>
      <c r="H10" s="309"/>
      <c r="I10" s="310"/>
      <c r="J10" s="303"/>
      <c r="K10" s="307"/>
      <c r="L10" s="306" t="s">
        <v>278</v>
      </c>
      <c r="M10" s="303" t="s">
        <v>279</v>
      </c>
      <c r="N10" s="307"/>
      <c r="O10" s="308"/>
      <c r="P10" s="306"/>
      <c r="Q10" s="305"/>
      <c r="R10" s="306" t="s">
        <v>278</v>
      </c>
      <c r="S10" s="303" t="s">
        <v>279</v>
      </c>
      <c r="T10" s="307"/>
      <c r="U10" s="308"/>
      <c r="V10" s="306"/>
      <c r="W10" s="305"/>
      <c r="X10" s="306" t="s">
        <v>278</v>
      </c>
      <c r="Y10" s="303" t="s">
        <v>279</v>
      </c>
      <c r="Z10" s="307"/>
      <c r="AA10" s="308"/>
      <c r="AB10" s="306"/>
      <c r="AC10" s="305"/>
      <c r="AD10" s="306" t="s">
        <v>278</v>
      </c>
      <c r="AE10" s="303" t="s">
        <v>279</v>
      </c>
      <c r="AF10" s="307"/>
      <c r="AG10" s="308"/>
      <c r="AH10" s="303"/>
      <c r="AI10" s="306"/>
      <c r="AK10" s="142" t="s">
        <v>280</v>
      </c>
      <c r="AL10" s="142" t="s">
        <v>132</v>
      </c>
    </row>
    <row r="11" ht="14.25" customHeight="1">
      <c r="D11" s="311" t="s">
        <v>111</v>
      </c>
      <c r="E11" s="312" t="s">
        <v>281</v>
      </c>
      <c r="F11" s="312" t="s">
        <v>282</v>
      </c>
      <c r="G11" s="313" t="s">
        <v>54</v>
      </c>
      <c r="H11" s="314"/>
      <c r="I11" s="315"/>
      <c r="J11" s="260"/>
      <c r="K11" s="260"/>
      <c r="L11" s="261"/>
      <c r="M11" s="261"/>
      <c r="N11" s="316"/>
      <c r="O11" s="261"/>
      <c r="P11" s="260"/>
      <c r="Q11" s="260"/>
      <c r="R11" s="261"/>
      <c r="S11" s="261"/>
      <c r="T11" s="317"/>
      <c r="U11" s="261"/>
      <c r="V11" s="260"/>
      <c r="W11" s="261"/>
      <c r="X11" s="261"/>
      <c r="Y11" s="261"/>
      <c r="Z11" s="316"/>
      <c r="AA11" s="261"/>
      <c r="AB11" s="260"/>
      <c r="AC11" s="318"/>
      <c r="AD11" s="261"/>
      <c r="AE11" s="261"/>
      <c r="AF11" s="261"/>
      <c r="AG11" s="261"/>
      <c r="AH11" s="316"/>
      <c r="AI11" s="264"/>
    </row>
    <row r="12" ht="14.25" customHeight="1">
      <c r="D12" s="311"/>
      <c r="E12" s="312"/>
      <c r="F12" s="312"/>
      <c r="G12" s="319"/>
      <c r="H12" s="320"/>
      <c r="I12" s="321"/>
      <c r="J12" s="269"/>
      <c r="K12" s="322"/>
      <c r="L12" s="124"/>
      <c r="M12" s="124"/>
      <c r="N12" s="60"/>
      <c r="O12" s="124"/>
      <c r="P12" s="269"/>
      <c r="Q12" s="269"/>
      <c r="R12" s="124"/>
      <c r="S12" s="124"/>
      <c r="T12" s="323"/>
      <c r="U12" s="124"/>
      <c r="V12" s="269"/>
      <c r="W12" s="124"/>
      <c r="X12" s="124"/>
      <c r="Y12" s="124"/>
      <c r="Z12" s="60"/>
      <c r="AA12" s="124"/>
      <c r="AB12" s="269"/>
      <c r="AC12" s="322"/>
      <c r="AD12" s="124"/>
      <c r="AE12" s="124"/>
      <c r="AF12" s="272"/>
      <c r="AG12" s="272"/>
      <c r="AH12" s="272"/>
      <c r="AI12" s="273"/>
    </row>
    <row r="13" ht="14.25" customHeight="1">
      <c r="D13" s="311"/>
      <c r="E13" s="312"/>
      <c r="F13" s="312"/>
      <c r="G13" s="319"/>
      <c r="H13" s="320"/>
      <c r="I13" s="321"/>
      <c r="J13" s="269"/>
      <c r="K13" s="322"/>
      <c r="L13" s="124"/>
      <c r="M13" s="124"/>
      <c r="N13" s="60"/>
      <c r="O13" s="124"/>
      <c r="P13" s="269"/>
      <c r="Q13" s="269"/>
      <c r="R13" s="124"/>
      <c r="S13" s="124"/>
      <c r="T13" s="323"/>
      <c r="U13" s="124"/>
      <c r="V13" s="269"/>
      <c r="W13" s="124"/>
      <c r="X13" s="124"/>
      <c r="Y13" s="124"/>
      <c r="Z13" s="124"/>
      <c r="AA13" s="272"/>
      <c r="AB13" s="272"/>
      <c r="AC13" s="272"/>
      <c r="AD13" s="272"/>
      <c r="AE13" s="272"/>
      <c r="AF13" s="272"/>
      <c r="AG13" s="272"/>
      <c r="AH13" s="272"/>
      <c r="AI13" s="273"/>
    </row>
    <row r="14" ht="14.25" customHeight="1">
      <c r="D14" s="311"/>
      <c r="E14" s="312"/>
      <c r="F14" s="312"/>
      <c r="G14" s="319"/>
      <c r="H14" s="320"/>
      <c r="I14" s="321"/>
      <c r="J14" s="269"/>
      <c r="K14" s="322"/>
      <c r="L14" s="124"/>
      <c r="M14" s="124"/>
      <c r="N14" s="60"/>
      <c r="O14" s="124"/>
      <c r="P14" s="269"/>
      <c r="Q14" s="269"/>
      <c r="R14" s="124"/>
      <c r="S14" s="124"/>
      <c r="T14" s="324"/>
      <c r="U14" s="325"/>
      <c r="V14" s="272"/>
      <c r="W14" s="272"/>
      <c r="X14" s="272"/>
      <c r="Y14" s="272"/>
      <c r="Z14" s="272"/>
      <c r="AA14" s="272"/>
      <c r="AB14" s="272"/>
      <c r="AC14" s="272"/>
      <c r="AD14" s="272"/>
      <c r="AE14" s="272"/>
      <c r="AF14" s="272"/>
      <c r="AG14" s="272"/>
      <c r="AH14" s="272"/>
      <c r="AI14" s="273"/>
    </row>
    <row r="15" ht="11.25" customHeight="1">
      <c r="D15" s="311"/>
      <c r="E15" s="312"/>
      <c r="F15" s="312"/>
      <c r="G15" s="319"/>
      <c r="H15" s="326"/>
      <c r="I15" s="321"/>
      <c r="J15" s="269"/>
      <c r="K15" s="322"/>
      <c r="L15" s="124"/>
      <c r="M15" s="124"/>
      <c r="N15" s="272"/>
      <c r="O15" s="272"/>
      <c r="P15" s="272"/>
      <c r="Q15" s="272"/>
      <c r="R15" s="272"/>
      <c r="S15" s="272"/>
      <c r="T15" s="272"/>
      <c r="U15" s="272"/>
      <c r="V15" s="272"/>
      <c r="W15" s="272"/>
      <c r="X15" s="272"/>
      <c r="Y15" s="272"/>
      <c r="Z15" s="272"/>
      <c r="AA15" s="272"/>
      <c r="AB15" s="272"/>
      <c r="AC15" s="272"/>
      <c r="AD15" s="272"/>
      <c r="AE15" s="272"/>
      <c r="AF15" s="272"/>
      <c r="AG15" s="272"/>
      <c r="AH15" s="272"/>
      <c r="AI15" s="273"/>
    </row>
    <row r="16" s="296" customFormat="1" ht="11.25" customHeight="1">
      <c r="D16" s="327"/>
      <c r="E16" s="328"/>
      <c r="F16" s="329"/>
      <c r="G16" s="221"/>
      <c r="H16" s="330"/>
      <c r="I16" s="331"/>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81"/>
      <c r="AK16" s="293"/>
    </row>
    <row r="17" ht="14.25" customHeight="1">
      <c r="D17" s="311" t="s">
        <v>99</v>
      </c>
      <c r="E17" s="312" t="s">
        <v>281</v>
      </c>
      <c r="F17" s="312" t="s">
        <v>283</v>
      </c>
      <c r="G17" s="313" t="s">
        <v>54</v>
      </c>
      <c r="H17" s="314"/>
      <c r="I17" s="315"/>
      <c r="J17" s="260"/>
      <c r="K17" s="260"/>
      <c r="L17" s="261"/>
      <c r="M17" s="261"/>
      <c r="N17" s="316"/>
      <c r="O17" s="261"/>
      <c r="P17" s="260"/>
      <c r="Q17" s="260"/>
      <c r="R17" s="261"/>
      <c r="S17" s="261"/>
      <c r="T17" s="317"/>
      <c r="U17" s="261"/>
      <c r="V17" s="260"/>
      <c r="W17" s="261"/>
      <c r="X17" s="261"/>
      <c r="Y17" s="261"/>
      <c r="Z17" s="316"/>
      <c r="AA17" s="261"/>
      <c r="AB17" s="260"/>
      <c r="AC17" s="318"/>
      <c r="AD17" s="261"/>
      <c r="AE17" s="261"/>
      <c r="AF17" s="261"/>
      <c r="AG17" s="261"/>
      <c r="AH17" s="316"/>
      <c r="AI17" s="264"/>
    </row>
    <row r="18" ht="14.25" customHeight="1">
      <c r="D18" s="311"/>
      <c r="E18" s="312"/>
      <c r="F18" s="312"/>
      <c r="G18" s="319"/>
      <c r="H18" s="320"/>
      <c r="I18" s="321"/>
      <c r="J18" s="269"/>
      <c r="K18" s="322"/>
      <c r="L18" s="124"/>
      <c r="M18" s="124"/>
      <c r="N18" s="60"/>
      <c r="O18" s="124"/>
      <c r="P18" s="269"/>
      <c r="Q18" s="269"/>
      <c r="R18" s="124"/>
      <c r="S18" s="124"/>
      <c r="T18" s="323"/>
      <c r="U18" s="124"/>
      <c r="V18" s="269"/>
      <c r="W18" s="124"/>
      <c r="X18" s="124"/>
      <c r="Y18" s="124"/>
      <c r="Z18" s="60"/>
      <c r="AA18" s="124"/>
      <c r="AB18" s="269"/>
      <c r="AC18" s="322"/>
      <c r="AD18" s="124"/>
      <c r="AE18" s="124"/>
      <c r="AF18" s="272"/>
      <c r="AG18" s="272"/>
      <c r="AH18" s="272"/>
      <c r="AI18" s="273"/>
    </row>
    <row r="19" ht="14.25" customHeight="1">
      <c r="D19" s="311"/>
      <c r="E19" s="312"/>
      <c r="F19" s="312"/>
      <c r="G19" s="319"/>
      <c r="H19" s="320"/>
      <c r="I19" s="321"/>
      <c r="J19" s="269"/>
      <c r="K19" s="322"/>
      <c r="L19" s="124"/>
      <c r="M19" s="124"/>
      <c r="N19" s="60"/>
      <c r="O19" s="124"/>
      <c r="P19" s="269"/>
      <c r="Q19" s="269"/>
      <c r="R19" s="124"/>
      <c r="S19" s="124"/>
      <c r="T19" s="323"/>
      <c r="U19" s="124"/>
      <c r="V19" s="269"/>
      <c r="W19" s="124"/>
      <c r="X19" s="124"/>
      <c r="Y19" s="124"/>
      <c r="Z19" s="124"/>
      <c r="AA19" s="272"/>
      <c r="AB19" s="272"/>
      <c r="AC19" s="272"/>
      <c r="AD19" s="272"/>
      <c r="AE19" s="272"/>
      <c r="AF19" s="272"/>
      <c r="AG19" s="272"/>
      <c r="AH19" s="272"/>
      <c r="AI19" s="273"/>
    </row>
    <row r="20" ht="14.25" customHeight="1">
      <c r="D20" s="311"/>
      <c r="E20" s="312"/>
      <c r="F20" s="312"/>
      <c r="G20" s="319"/>
      <c r="H20" s="320"/>
      <c r="I20" s="321"/>
      <c r="J20" s="269"/>
      <c r="K20" s="322"/>
      <c r="L20" s="124"/>
      <c r="M20" s="124"/>
      <c r="N20" s="60"/>
      <c r="O20" s="124"/>
      <c r="P20" s="269"/>
      <c r="Q20" s="269"/>
      <c r="R20" s="124"/>
      <c r="S20" s="124"/>
      <c r="T20" s="324"/>
      <c r="U20" s="325"/>
      <c r="V20" s="272"/>
      <c r="W20" s="272"/>
      <c r="X20" s="272"/>
      <c r="Y20" s="272"/>
      <c r="Z20" s="272"/>
      <c r="AA20" s="272"/>
      <c r="AB20" s="272"/>
      <c r="AC20" s="272"/>
      <c r="AD20" s="272"/>
      <c r="AE20" s="272"/>
      <c r="AF20" s="272"/>
      <c r="AG20" s="272"/>
      <c r="AH20" s="272"/>
      <c r="AI20" s="273"/>
    </row>
    <row r="21" ht="11.25" customHeight="1">
      <c r="D21" s="311"/>
      <c r="E21" s="312"/>
      <c r="F21" s="312"/>
      <c r="G21" s="319"/>
      <c r="H21" s="326"/>
      <c r="I21" s="321"/>
      <c r="J21" s="269"/>
      <c r="K21" s="322"/>
      <c r="L21" s="124"/>
      <c r="M21" s="124"/>
      <c r="N21" s="272"/>
      <c r="O21" s="272"/>
      <c r="P21" s="272"/>
      <c r="Q21" s="272"/>
      <c r="R21" s="272"/>
      <c r="S21" s="272"/>
      <c r="T21" s="272"/>
      <c r="U21" s="272"/>
      <c r="V21" s="272"/>
      <c r="W21" s="272"/>
      <c r="X21" s="272"/>
      <c r="Y21" s="272"/>
      <c r="Z21" s="272"/>
      <c r="AA21" s="272"/>
      <c r="AB21" s="272"/>
      <c r="AC21" s="272"/>
      <c r="AD21" s="272"/>
      <c r="AE21" s="272"/>
      <c r="AF21" s="272"/>
      <c r="AG21" s="272"/>
      <c r="AH21" s="272"/>
      <c r="AI21" s="273"/>
    </row>
    <row r="22" s="296" customFormat="1" ht="11.25" customHeight="1">
      <c r="D22" s="327"/>
      <c r="E22" s="328"/>
      <c r="F22" s="329"/>
      <c r="G22" s="221"/>
      <c r="H22" s="330"/>
      <c r="I22" s="331"/>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81"/>
      <c r="AK22" s="293"/>
    </row>
    <row r="23" ht="14.25" customHeight="1">
      <c r="D23" s="311" t="s">
        <v>87</v>
      </c>
      <c r="E23" s="312" t="s">
        <v>281</v>
      </c>
      <c r="F23" s="312" t="s">
        <v>284</v>
      </c>
      <c r="G23" s="313" t="s">
        <v>54</v>
      </c>
      <c r="H23" s="314"/>
      <c r="I23" s="315"/>
      <c r="J23" s="260"/>
      <c r="K23" s="260"/>
      <c r="L23" s="261"/>
      <c r="M23" s="261"/>
      <c r="N23" s="316"/>
      <c r="O23" s="261"/>
      <c r="P23" s="260"/>
      <c r="Q23" s="260"/>
      <c r="R23" s="261"/>
      <c r="S23" s="261"/>
      <c r="T23" s="317"/>
      <c r="U23" s="261"/>
      <c r="V23" s="260"/>
      <c r="W23" s="261"/>
      <c r="X23" s="261"/>
      <c r="Y23" s="261"/>
      <c r="Z23" s="316"/>
      <c r="AA23" s="261"/>
      <c r="AB23" s="260"/>
      <c r="AC23" s="318"/>
      <c r="AD23" s="261"/>
      <c r="AE23" s="261"/>
      <c r="AF23" s="261"/>
      <c r="AG23" s="261"/>
      <c r="AH23" s="316"/>
      <c r="AI23" s="264"/>
      <c r="AK23" s="293" t="s">
        <v>95</v>
      </c>
    </row>
    <row r="24" ht="14.25" customHeight="1">
      <c r="D24" s="311"/>
      <c r="E24" s="312"/>
      <c r="F24" s="312"/>
      <c r="G24" s="319"/>
      <c r="H24" s="320"/>
      <c r="I24" s="321"/>
      <c r="J24" s="269"/>
      <c r="K24" s="322"/>
      <c r="L24" s="124"/>
      <c r="M24" s="124"/>
      <c r="N24" s="60"/>
      <c r="O24" s="124"/>
      <c r="P24" s="269"/>
      <c r="Q24" s="269"/>
      <c r="R24" s="124"/>
      <c r="S24" s="124"/>
      <c r="T24" s="323"/>
      <c r="U24" s="124"/>
      <c r="V24" s="269"/>
      <c r="W24" s="124"/>
      <c r="X24" s="124"/>
      <c r="Y24" s="124"/>
      <c r="Z24" s="60"/>
      <c r="AA24" s="124"/>
      <c r="AB24" s="269"/>
      <c r="AC24" s="322"/>
      <c r="AD24" s="124"/>
      <c r="AE24" s="124"/>
      <c r="AF24" s="272"/>
      <c r="AG24" s="272"/>
      <c r="AH24" s="272"/>
      <c r="AI24" s="273"/>
    </row>
    <row r="25" ht="14.25" customHeight="1">
      <c r="D25" s="311"/>
      <c r="E25" s="312"/>
      <c r="F25" s="312"/>
      <c r="G25" s="319"/>
      <c r="H25" s="320"/>
      <c r="I25" s="321"/>
      <c r="J25" s="269"/>
      <c r="K25" s="322"/>
      <c r="L25" s="124"/>
      <c r="M25" s="124"/>
      <c r="N25" s="60"/>
      <c r="O25" s="124"/>
      <c r="P25" s="269"/>
      <c r="Q25" s="269"/>
      <c r="R25" s="124"/>
      <c r="S25" s="124"/>
      <c r="T25" s="323"/>
      <c r="U25" s="124"/>
      <c r="V25" s="269"/>
      <c r="W25" s="124"/>
      <c r="X25" s="124"/>
      <c r="Y25" s="124"/>
      <c r="Z25" s="124"/>
      <c r="AA25" s="272"/>
      <c r="AB25" s="272"/>
      <c r="AC25" s="272"/>
      <c r="AD25" s="272"/>
      <c r="AE25" s="272"/>
      <c r="AF25" s="272"/>
      <c r="AG25" s="272"/>
      <c r="AH25" s="272"/>
      <c r="AI25" s="273"/>
    </row>
    <row r="26" ht="14.25" customHeight="1">
      <c r="D26" s="311"/>
      <c r="E26" s="312"/>
      <c r="F26" s="312"/>
      <c r="G26" s="319"/>
      <c r="H26" s="320"/>
      <c r="I26" s="321"/>
      <c r="J26" s="269"/>
      <c r="K26" s="322"/>
      <c r="L26" s="124"/>
      <c r="M26" s="124"/>
      <c r="N26" s="60"/>
      <c r="O26" s="124"/>
      <c r="P26" s="269"/>
      <c r="Q26" s="269"/>
      <c r="R26" s="124"/>
      <c r="S26" s="124"/>
      <c r="T26" s="324"/>
      <c r="U26" s="325"/>
      <c r="V26" s="272"/>
      <c r="W26" s="272"/>
      <c r="X26" s="272"/>
      <c r="Y26" s="272"/>
      <c r="Z26" s="272"/>
      <c r="AA26" s="272"/>
      <c r="AB26" s="272"/>
      <c r="AC26" s="272"/>
      <c r="AD26" s="272"/>
      <c r="AE26" s="272"/>
      <c r="AF26" s="272"/>
      <c r="AG26" s="272"/>
      <c r="AH26" s="272"/>
      <c r="AI26" s="273"/>
    </row>
    <row r="27" ht="11.25" customHeight="1">
      <c r="D27" s="311"/>
      <c r="E27" s="312"/>
      <c r="F27" s="312"/>
      <c r="G27" s="319"/>
      <c r="H27" s="326"/>
      <c r="I27" s="321"/>
      <c r="J27" s="269"/>
      <c r="K27" s="322"/>
      <c r="L27" s="124"/>
      <c r="M27" s="124"/>
      <c r="N27" s="272"/>
      <c r="O27" s="272"/>
      <c r="P27" s="272"/>
      <c r="Q27" s="272"/>
      <c r="R27" s="272"/>
      <c r="S27" s="272"/>
      <c r="T27" s="272"/>
      <c r="U27" s="272"/>
      <c r="V27" s="272"/>
      <c r="W27" s="272"/>
      <c r="X27" s="272"/>
      <c r="Y27" s="272"/>
      <c r="Z27" s="272"/>
      <c r="AA27" s="272"/>
      <c r="AB27" s="272"/>
      <c r="AC27" s="272"/>
      <c r="AD27" s="272"/>
      <c r="AE27" s="272"/>
      <c r="AF27" s="272"/>
      <c r="AG27" s="272"/>
      <c r="AH27" s="272"/>
      <c r="AI27" s="273"/>
    </row>
    <row r="28" s="296" customFormat="1" ht="11.25" customHeight="1">
      <c r="D28" s="327"/>
      <c r="E28" s="328"/>
      <c r="F28" s="329"/>
      <c r="G28" s="221"/>
      <c r="H28" s="330"/>
      <c r="I28" s="331"/>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81"/>
      <c r="AK28" s="293"/>
    </row>
    <row r="29" ht="14.25" customHeight="1">
      <c r="D29" s="311" t="s">
        <v>88</v>
      </c>
      <c r="E29" s="312" t="s">
        <v>281</v>
      </c>
      <c r="F29" s="312" t="s">
        <v>285</v>
      </c>
      <c r="G29" s="313" t="s">
        <v>54</v>
      </c>
      <c r="H29" s="314"/>
      <c r="I29" s="315"/>
      <c r="J29" s="260"/>
      <c r="K29" s="260"/>
      <c r="L29" s="261"/>
      <c r="M29" s="261"/>
      <c r="N29" s="316"/>
      <c r="O29" s="261"/>
      <c r="P29" s="260"/>
      <c r="Q29" s="260"/>
      <c r="R29" s="261"/>
      <c r="S29" s="261"/>
      <c r="T29" s="317"/>
      <c r="U29" s="261"/>
      <c r="V29" s="260"/>
      <c r="W29" s="261"/>
      <c r="X29" s="261"/>
      <c r="Y29" s="261"/>
      <c r="Z29" s="316"/>
      <c r="AA29" s="261"/>
      <c r="AB29" s="260"/>
      <c r="AC29" s="318"/>
      <c r="AD29" s="261"/>
      <c r="AE29" s="261"/>
      <c r="AF29" s="261"/>
      <c r="AG29" s="261"/>
      <c r="AH29" s="316"/>
      <c r="AI29" s="264"/>
    </row>
    <row r="30" ht="14.25" customHeight="1">
      <c r="D30" s="311"/>
      <c r="E30" s="312"/>
      <c r="F30" s="312"/>
      <c r="G30" s="319"/>
      <c r="H30" s="320"/>
      <c r="I30" s="321"/>
      <c r="J30" s="269"/>
      <c r="K30" s="322"/>
      <c r="L30" s="124"/>
      <c r="M30" s="124"/>
      <c r="N30" s="60"/>
      <c r="O30" s="124"/>
      <c r="P30" s="269"/>
      <c r="Q30" s="269"/>
      <c r="R30" s="124"/>
      <c r="S30" s="124"/>
      <c r="T30" s="323"/>
      <c r="U30" s="124"/>
      <c r="V30" s="269"/>
      <c r="W30" s="124"/>
      <c r="X30" s="124"/>
      <c r="Y30" s="124"/>
      <c r="Z30" s="60"/>
      <c r="AA30" s="124"/>
      <c r="AB30" s="269"/>
      <c r="AC30" s="322"/>
      <c r="AD30" s="124"/>
      <c r="AE30" s="124"/>
      <c r="AF30" s="272"/>
      <c r="AG30" s="272"/>
      <c r="AH30" s="272"/>
      <c r="AI30" s="273"/>
    </row>
    <row r="31" ht="14.25" customHeight="1">
      <c r="D31" s="311"/>
      <c r="E31" s="312"/>
      <c r="F31" s="312"/>
      <c r="G31" s="319"/>
      <c r="H31" s="320"/>
      <c r="I31" s="321"/>
      <c r="J31" s="269"/>
      <c r="K31" s="322"/>
      <c r="L31" s="124"/>
      <c r="M31" s="124"/>
      <c r="N31" s="60"/>
      <c r="O31" s="124"/>
      <c r="P31" s="269"/>
      <c r="Q31" s="269"/>
      <c r="R31" s="124"/>
      <c r="S31" s="124"/>
      <c r="T31" s="323"/>
      <c r="U31" s="124"/>
      <c r="V31" s="269"/>
      <c r="W31" s="124"/>
      <c r="X31" s="124"/>
      <c r="Y31" s="124"/>
      <c r="Z31" s="124"/>
      <c r="AA31" s="272"/>
      <c r="AB31" s="272"/>
      <c r="AC31" s="272"/>
      <c r="AD31" s="272"/>
      <c r="AE31" s="272"/>
      <c r="AF31" s="272"/>
      <c r="AG31" s="272"/>
      <c r="AH31" s="272"/>
      <c r="AI31" s="273"/>
    </row>
    <row r="32" ht="14.25" customHeight="1">
      <c r="D32" s="311"/>
      <c r="E32" s="312"/>
      <c r="F32" s="312"/>
      <c r="G32" s="319"/>
      <c r="H32" s="320"/>
      <c r="I32" s="321"/>
      <c r="J32" s="269"/>
      <c r="K32" s="322"/>
      <c r="L32" s="124"/>
      <c r="M32" s="124"/>
      <c r="N32" s="60"/>
      <c r="O32" s="124"/>
      <c r="P32" s="269"/>
      <c r="Q32" s="269"/>
      <c r="R32" s="124"/>
      <c r="S32" s="124"/>
      <c r="T32" s="324"/>
      <c r="U32" s="325"/>
      <c r="V32" s="272"/>
      <c r="W32" s="272"/>
      <c r="X32" s="272"/>
      <c r="Y32" s="272"/>
      <c r="Z32" s="272"/>
      <c r="AA32" s="272"/>
      <c r="AB32" s="272"/>
      <c r="AC32" s="272"/>
      <c r="AD32" s="272"/>
      <c r="AE32" s="272"/>
      <c r="AF32" s="272"/>
      <c r="AG32" s="272"/>
      <c r="AH32" s="272"/>
      <c r="AI32" s="273"/>
    </row>
    <row r="33" ht="11.25" customHeight="1">
      <c r="D33" s="311"/>
      <c r="E33" s="312"/>
      <c r="F33" s="312"/>
      <c r="G33" s="319"/>
      <c r="H33" s="326"/>
      <c r="I33" s="321"/>
      <c r="J33" s="269"/>
      <c r="K33" s="322"/>
      <c r="L33" s="124"/>
      <c r="M33" s="124"/>
      <c r="N33" s="272"/>
      <c r="O33" s="272"/>
      <c r="P33" s="272"/>
      <c r="Q33" s="272"/>
      <c r="R33" s="272"/>
      <c r="S33" s="272"/>
      <c r="T33" s="272"/>
      <c r="U33" s="272"/>
      <c r="V33" s="272"/>
      <c r="W33" s="272"/>
      <c r="X33" s="272"/>
      <c r="Y33" s="272"/>
      <c r="Z33" s="272"/>
      <c r="AA33" s="272"/>
      <c r="AB33" s="272"/>
      <c r="AC33" s="272"/>
      <c r="AD33" s="272"/>
      <c r="AE33" s="272"/>
      <c r="AF33" s="272"/>
      <c r="AG33" s="272"/>
      <c r="AH33" s="272"/>
      <c r="AI33" s="273"/>
    </row>
    <row r="34" s="296" customFormat="1" ht="11.25" customHeight="1">
      <c r="D34" s="327"/>
      <c r="E34" s="328"/>
      <c r="F34" s="329"/>
      <c r="G34" s="221"/>
      <c r="H34" s="330"/>
      <c r="I34" s="331"/>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81"/>
      <c r="AK34" s="293"/>
    </row>
    <row r="35" ht="14.25" customHeight="1">
      <c r="D35" s="311" t="s">
        <v>112</v>
      </c>
      <c r="E35" s="312" t="s">
        <v>281</v>
      </c>
      <c r="F35" s="312" t="s">
        <v>286</v>
      </c>
      <c r="G35" s="313" t="s">
        <v>54</v>
      </c>
      <c r="H35" s="314"/>
      <c r="I35" s="315"/>
      <c r="J35" s="260"/>
      <c r="K35" s="260"/>
      <c r="L35" s="261"/>
      <c r="M35" s="261"/>
      <c r="N35" s="316"/>
      <c r="O35" s="261"/>
      <c r="P35" s="260"/>
      <c r="Q35" s="260"/>
      <c r="R35" s="261"/>
      <c r="S35" s="261"/>
      <c r="T35" s="317"/>
      <c r="U35" s="261"/>
      <c r="V35" s="260"/>
      <c r="W35" s="261"/>
      <c r="X35" s="261"/>
      <c r="Y35" s="261"/>
      <c r="Z35" s="316"/>
      <c r="AA35" s="261"/>
      <c r="AB35" s="260"/>
      <c r="AC35" s="318"/>
      <c r="AD35" s="261"/>
      <c r="AE35" s="261"/>
      <c r="AF35" s="261"/>
      <c r="AG35" s="261"/>
      <c r="AH35" s="316"/>
      <c r="AI35" s="264"/>
    </row>
    <row r="36" ht="14.25" customHeight="1">
      <c r="D36" s="311"/>
      <c r="E36" s="312"/>
      <c r="F36" s="312"/>
      <c r="G36" s="319"/>
      <c r="H36" s="320"/>
      <c r="I36" s="321"/>
      <c r="J36" s="269"/>
      <c r="K36" s="322"/>
      <c r="L36" s="124"/>
      <c r="M36" s="124"/>
      <c r="N36" s="60"/>
      <c r="O36" s="124"/>
      <c r="P36" s="269"/>
      <c r="Q36" s="269"/>
      <c r="R36" s="124"/>
      <c r="S36" s="124"/>
      <c r="T36" s="323"/>
      <c r="U36" s="124"/>
      <c r="V36" s="269"/>
      <c r="W36" s="124"/>
      <c r="X36" s="124"/>
      <c r="Y36" s="124"/>
      <c r="Z36" s="60"/>
      <c r="AA36" s="124"/>
      <c r="AB36" s="269"/>
      <c r="AC36" s="322"/>
      <c r="AD36" s="124"/>
      <c r="AE36" s="124"/>
      <c r="AF36" s="272"/>
      <c r="AG36" s="272"/>
      <c r="AH36" s="272"/>
      <c r="AI36" s="273"/>
    </row>
    <row r="37" ht="14.25" customHeight="1">
      <c r="D37" s="311"/>
      <c r="E37" s="312"/>
      <c r="F37" s="312"/>
      <c r="G37" s="319"/>
      <c r="H37" s="320"/>
      <c r="I37" s="321"/>
      <c r="J37" s="269"/>
      <c r="K37" s="322"/>
      <c r="L37" s="124"/>
      <c r="M37" s="124"/>
      <c r="N37" s="60"/>
      <c r="O37" s="124"/>
      <c r="P37" s="269"/>
      <c r="Q37" s="269"/>
      <c r="R37" s="124"/>
      <c r="S37" s="124"/>
      <c r="T37" s="323"/>
      <c r="U37" s="124"/>
      <c r="V37" s="269"/>
      <c r="W37" s="124"/>
      <c r="X37" s="124"/>
      <c r="Y37" s="124"/>
      <c r="Z37" s="124"/>
      <c r="AA37" s="272"/>
      <c r="AB37" s="272"/>
      <c r="AC37" s="272"/>
      <c r="AD37" s="272"/>
      <c r="AE37" s="272"/>
      <c r="AF37" s="272"/>
      <c r="AG37" s="272"/>
      <c r="AH37" s="272"/>
      <c r="AI37" s="273"/>
    </row>
    <row r="38" ht="14.25" customHeight="1">
      <c r="D38" s="311"/>
      <c r="E38" s="312"/>
      <c r="F38" s="312"/>
      <c r="G38" s="319"/>
      <c r="H38" s="320"/>
      <c r="I38" s="321"/>
      <c r="J38" s="269"/>
      <c r="K38" s="322"/>
      <c r="L38" s="124"/>
      <c r="M38" s="124"/>
      <c r="N38" s="60"/>
      <c r="O38" s="124"/>
      <c r="P38" s="269"/>
      <c r="Q38" s="269"/>
      <c r="R38" s="124"/>
      <c r="S38" s="124"/>
      <c r="T38" s="324"/>
      <c r="U38" s="325"/>
      <c r="V38" s="272"/>
      <c r="W38" s="272"/>
      <c r="X38" s="272"/>
      <c r="Y38" s="272"/>
      <c r="Z38" s="272"/>
      <c r="AA38" s="272"/>
      <c r="AB38" s="272"/>
      <c r="AC38" s="272"/>
      <c r="AD38" s="272"/>
      <c r="AE38" s="272"/>
      <c r="AF38" s="272"/>
      <c r="AG38" s="272"/>
      <c r="AH38" s="272"/>
      <c r="AI38" s="273"/>
    </row>
    <row r="39" ht="11.25" customHeight="1">
      <c r="D39" s="311"/>
      <c r="E39" s="312"/>
      <c r="F39" s="312"/>
      <c r="G39" s="319"/>
      <c r="H39" s="326"/>
      <c r="I39" s="321"/>
      <c r="J39" s="269"/>
      <c r="K39" s="322"/>
      <c r="L39" s="124"/>
      <c r="M39" s="124"/>
      <c r="N39" s="272"/>
      <c r="O39" s="272"/>
      <c r="P39" s="272"/>
      <c r="Q39" s="272"/>
      <c r="R39" s="272"/>
      <c r="S39" s="272"/>
      <c r="T39" s="272"/>
      <c r="U39" s="272"/>
      <c r="V39" s="272"/>
      <c r="W39" s="272"/>
      <c r="X39" s="272"/>
      <c r="Y39" s="272"/>
      <c r="Z39" s="272"/>
      <c r="AA39" s="272"/>
      <c r="AB39" s="272"/>
      <c r="AC39" s="272"/>
      <c r="AD39" s="272"/>
      <c r="AE39" s="272"/>
      <c r="AF39" s="272"/>
      <c r="AG39" s="272"/>
      <c r="AH39" s="272"/>
      <c r="AI39" s="273"/>
    </row>
    <row r="40" s="296" customFormat="1" ht="11.25" customHeight="1">
      <c r="D40" s="311"/>
      <c r="E40" s="312"/>
      <c r="F40" s="332"/>
      <c r="G40" s="221"/>
      <c r="H40" s="330"/>
      <c r="I40" s="331"/>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81"/>
      <c r="AK40" s="293"/>
    </row>
    <row r="41" ht="11.25" customHeight="1"/>
    <row r="42" ht="11.25" customHeight="1"/>
    <row r="43" ht="11.25" customHeight="1"/>
    <row r="44" ht="11.25" customHeight="1"/>
    <row r="45" ht="11.25" customHeight="1"/>
    <row r="46" ht="11.25" customHeight="1"/>
    <row r="47" ht="11.25" customHeight="1"/>
    <row r="48" ht="11.25" customHeight="1"/>
    <row r="49" ht="11.25" customHeight="1"/>
  </sheetData>
  <sheetProtection autoFilter="0" deleteColumns="0" deleteRows="0" formatCells="1" formatColumns="0" formatRows="0" insertColumns="1" insertHyperlinks="1" insertRows="0" pivotTables="1" selectLockedCells="0" selectUnlockedCells="0" sheet="0" sort="0"/>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CA00F6-0041-45DA-AD7D-001600D80087}"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AC17 AC23 AC35 AC29 AC11</xm:sqref>
        </x14:dataValidation>
        <x14:dataValidation xr:uid="{005C00A4-0092-4982-9C83-00D400830064}" type="textLength" allowBlank="1" error="Допускается ввод не более 900 символов!" errorStyle="stop" errorTitle="Ошибка" imeMode="noControl" operator="lessThanOrEqual" showDropDown="0" showErrorMessage="1" showInputMessage="1">
          <x14:formula1>
            <xm:f>900</xm:f>
          </x14:formula1>
          <xm:sqref>AI29 AI23 P17:P20 J23:J27 J29:J33 AI35 J35:J39 P35:P38 P29:P32 AI17 J17:J21 P23:P26 AI11 J11:J15 P11:P14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topLeftCell="C3" zoomScale="90" workbookViewId="0">
      <selection activeCell="A1" activeCellId="0" sqref="A1"/>
    </sheetView>
  </sheetViews>
  <sheetFormatPr defaultColWidth="9.140625" defaultRowHeight="11.25" customHeight="1"/>
  <cols>
    <col customWidth="1" hidden="1" min="1" max="1" style="333" width="15.00390625"/>
    <col customWidth="1" hidden="1" min="2" max="2" style="334" width="15.00390625"/>
    <col customWidth="1" min="3" max="3" style="335" width="3.7109375"/>
    <col customWidth="1" min="4" max="4" style="336" width="6.8515625"/>
    <col customWidth="1" min="5" max="5" style="335" width="52.28125"/>
    <col customWidth="1" min="6" max="6" style="335" width="48.8515625"/>
    <col customWidth="1" min="7" max="7" style="335" width="121.7109375"/>
    <col min="8" max="8" style="335" width="9.140625"/>
    <col customWidth="1" min="9" max="9" style="335" width="65.00390625"/>
  </cols>
  <sheetData>
    <row r="1" ht="11.25" hidden="1" customHeight="1">
      <c r="A1" s="333" t="s">
        <v>287</v>
      </c>
    </row>
    <row r="2" ht="11.25" hidden="1" customHeight="1"/>
    <row r="3" s="337" customFormat="1" ht="11.25" customHeight="1">
      <c r="A3" s="333"/>
      <c r="B3" s="334"/>
      <c r="D3" s="338"/>
    </row>
    <row r="4" ht="25.5" customHeight="1">
      <c r="D4" s="237" t="str">
        <f>ORG_INFO_NAME_FORM</f>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
      <c r="F4" s="239"/>
      <c r="I4" s="339"/>
    </row>
    <row r="5" ht="17.25" customHeight="1">
      <c r="D5" s="302" t="str">
        <f>IF(org=0,"Не определено",org)</f>
        <v xml:space="preserve">филиал ПАО "ОГК-2" - Адлерская ТЭС</v>
      </c>
      <c r="E5" s="302"/>
      <c r="F5" s="302"/>
      <c r="I5" s="339"/>
    </row>
    <row r="6" s="337" customFormat="1" ht="11.25" customHeight="1">
      <c r="A6" s="333"/>
      <c r="B6" s="334"/>
      <c r="D6" s="340"/>
      <c r="E6" s="340"/>
      <c r="F6" s="341"/>
      <c r="G6" s="340"/>
    </row>
    <row r="7" ht="11.25" hidden="1" customHeight="1">
      <c r="A7" s="89"/>
      <c r="B7" s="342"/>
      <c r="C7" s="89"/>
      <c r="D7" s="83"/>
      <c r="E7" s="343"/>
      <c r="F7" s="343"/>
    </row>
    <row r="8" ht="11.25" customHeight="1">
      <c r="A8" s="89"/>
      <c r="B8" s="342"/>
      <c r="C8" s="89"/>
      <c r="D8" s="344" t="s">
        <v>288</v>
      </c>
      <c r="E8" s="345"/>
      <c r="F8" s="345"/>
      <c r="G8" s="346" t="s">
        <v>289</v>
      </c>
    </row>
    <row r="9" ht="11.25" customHeight="1">
      <c r="A9" s="89"/>
      <c r="B9" s="342"/>
      <c r="C9" s="89"/>
      <c r="D9" s="345" t="s">
        <v>85</v>
      </c>
      <c r="E9" s="346" t="s">
        <v>290</v>
      </c>
      <c r="F9" s="346" t="s">
        <v>291</v>
      </c>
      <c r="G9" s="347"/>
    </row>
    <row r="10" ht="12" hidden="1" customHeight="1">
      <c r="A10" s="89"/>
      <c r="B10" s="342"/>
      <c r="C10" s="89"/>
      <c r="D10" s="348"/>
      <c r="E10" s="348"/>
      <c r="F10" s="348"/>
      <c r="G10" s="348"/>
    </row>
    <row r="11" ht="22.5" hidden="1" customHeight="1">
      <c r="A11" s="89"/>
      <c r="B11" s="342"/>
      <c r="C11" s="89"/>
      <c r="D11" s="349" t="s">
        <v>111</v>
      </c>
      <c r="E11" s="350" t="s">
        <v>292</v>
      </c>
      <c r="F11" s="351" t="str">
        <f>IF(region_name="","",region_name)</f>
        <v xml:space="preserve">Краснодарский край</v>
      </c>
      <c r="G11" s="350" t="s">
        <v>293</v>
      </c>
      <c r="H11" s="352"/>
    </row>
    <row r="12" ht="22.5" hidden="1" customHeight="1">
      <c r="A12" s="89"/>
      <c r="B12" s="342"/>
      <c r="C12" s="89"/>
      <c r="D12" s="353" t="s">
        <v>111</v>
      </c>
      <c r="E12" s="35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v>
      </c>
      <c r="F12" s="247" t="s">
        <v>294</v>
      </c>
      <c r="G12" s="355"/>
      <c r="H12" s="352"/>
    </row>
    <row r="13" ht="22.5" customHeight="1">
      <c r="A13" s="89"/>
      <c r="B13" s="342"/>
      <c r="C13" s="89"/>
      <c r="D13" s="353" t="s">
        <v>111</v>
      </c>
      <c r="E13" s="356" t="str">
        <f>"Наименование юридического лица"&amp;IF(TEMPLATE_SPHERE="TKO"," (индивидуального предпринимателя)","")</f>
        <v xml:space="preserve">Наименование юридического лица</v>
      </c>
      <c r="F13" s="357"/>
      <c r="G13" s="35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 xml:space="preserve">Наименование юридического лица (согласно уставу регулируемой организации)</v>
      </c>
      <c r="H13" s="352"/>
    </row>
    <row r="14" ht="22.5" hidden="1" customHeight="1">
      <c r="A14" s="89"/>
      <c r="B14" s="342"/>
      <c r="C14" s="89"/>
      <c r="D14" s="349" t="s">
        <v>295</v>
      </c>
      <c r="E14" s="358" t="s">
        <v>296</v>
      </c>
      <c r="F14" s="351" t="str">
        <f>IF(inn="","",inn)</f>
        <v>2607018122</v>
      </c>
      <c r="G14" s="350" t="s">
        <v>297</v>
      </c>
      <c r="H14" s="352"/>
    </row>
    <row r="15" ht="22.5" hidden="1" customHeight="1">
      <c r="A15" s="89"/>
      <c r="B15" s="342"/>
      <c r="C15" s="89"/>
      <c r="D15" s="349" t="s">
        <v>298</v>
      </c>
      <c r="E15" s="358" t="s">
        <v>299</v>
      </c>
      <c r="F15" s="351" t="str">
        <f>IF(kpp="","",kpp)</f>
        <v>231743001</v>
      </c>
      <c r="G15" s="350" t="s">
        <v>300</v>
      </c>
      <c r="H15" s="352"/>
    </row>
    <row r="16" ht="36.75" customHeight="1">
      <c r="A16" s="89"/>
      <c r="B16" s="342"/>
      <c r="C16" s="89"/>
      <c r="D16" s="353" t="s">
        <v>99</v>
      </c>
      <c r="E16" s="3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 xml:space="preserve">Основной государственный регистрационный номер (ОГРН) (основной государственный регистрационный номер индивидуального предпринимателя (ОГРНИП)</v>
      </c>
      <c r="F16" s="357"/>
      <c r="G16" s="354" t="str">
        <f>"Указывается основной государственный регистрационный номер юридического лица"&amp;IF(TEMPLATE_SPHERE="TKO",""," (индивидуального предпринимателя)")&amp;"."</f>
        <v xml:space="preserve">Указывается основной государственный регистрационный номер юридического лица (индивидуального предпринимателя).</v>
      </c>
      <c r="H16" s="352"/>
    </row>
    <row r="17" ht="22.5" customHeight="1">
      <c r="A17" s="89"/>
      <c r="B17" s="342"/>
      <c r="C17" s="89"/>
      <c r="D17" s="353" t="s">
        <v>87</v>
      </c>
      <c r="E17" s="356" t="str">
        <f>"Дата присвоения ОГРН"&amp;IF(TEMPLATE_SPHERE="TKO",""," (ОГРНИП)")</f>
        <v xml:space="preserve">Дата присвоения ОГРН (ОГРНИП)</v>
      </c>
      <c r="F17" s="87" t="s">
        <v>18</v>
      </c>
      <c r="G17" s="354" t="str">
        <f>"Дата присвоения ОГРН"&amp;IF(TEMPLATE_SPHERE="TKO",""," (ОГРНИП)")&amp;" указывается в виде «ДД.ММ.ГГГГ»."</f>
        <v xml:space="preserve">Дата присвоения ОГРН (ОГРНИП) указывается в виде «ДД.ММ.ГГГГ».</v>
      </c>
      <c r="H17" s="352"/>
    </row>
    <row r="18" ht="56.25" customHeight="1">
      <c r="A18" s="89"/>
      <c r="B18" s="342"/>
      <c r="C18" s="89"/>
      <c r="D18" s="353" t="s">
        <v>88</v>
      </c>
      <c r="E18" s="3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 xml:space="preserve">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7"/>
      <c r="G18" s="355"/>
      <c r="H18" s="352"/>
    </row>
    <row r="19" ht="22.5" customHeight="1">
      <c r="A19" s="83">
        <v>1</v>
      </c>
      <c r="B19" s="342"/>
      <c r="C19" s="359"/>
      <c r="D19" s="360">
        <v>5</v>
      </c>
      <c r="E19" s="356" t="s">
        <v>301</v>
      </c>
      <c r="F19" s="247" t="s">
        <v>294</v>
      </c>
      <c r="G19" s="354" t="s">
        <v>302</v>
      </c>
      <c r="H19" s="352"/>
      <c r="I19" s="361"/>
    </row>
    <row r="20" ht="33.75" customHeight="1">
      <c r="A20" s="83"/>
      <c r="B20" s="342"/>
      <c r="C20" s="359"/>
      <c r="D20" s="353" t="s">
        <v>303</v>
      </c>
      <c r="E20" s="362" t="s">
        <v>304</v>
      </c>
      <c r="F20" s="357" t="s">
        <v>18</v>
      </c>
      <c r="G20" s="355"/>
      <c r="H20" s="352"/>
      <c r="I20" s="361"/>
    </row>
    <row r="21" ht="22.5" customHeight="1">
      <c r="A21" s="83"/>
      <c r="B21" s="342"/>
      <c r="C21" s="359"/>
      <c r="D21" s="353" t="s">
        <v>305</v>
      </c>
      <c r="E21" s="362" t="s">
        <v>306</v>
      </c>
      <c r="F21" s="87" t="s">
        <v>18</v>
      </c>
      <c r="G21" s="354" t="s">
        <v>307</v>
      </c>
      <c r="H21" s="352"/>
      <c r="I21" s="361"/>
    </row>
    <row r="22" ht="22.5" customHeight="1">
      <c r="A22" s="83"/>
      <c r="B22" s="342"/>
      <c r="C22" s="359"/>
      <c r="D22" s="353" t="s">
        <v>308</v>
      </c>
      <c r="E22" s="362" t="s">
        <v>309</v>
      </c>
      <c r="F22" s="357" t="s">
        <v>18</v>
      </c>
      <c r="G22" s="355"/>
      <c r="H22" s="352"/>
      <c r="I22" s="361"/>
    </row>
    <row r="23" ht="22.5" customHeight="1">
      <c r="A23" s="83"/>
      <c r="B23" s="342"/>
      <c r="C23" s="359"/>
      <c r="D23" s="353" t="s">
        <v>310</v>
      </c>
      <c r="E23" s="362" t="s">
        <v>311</v>
      </c>
      <c r="F23" s="357" t="s">
        <v>18</v>
      </c>
      <c r="G23" s="354" t="s">
        <v>312</v>
      </c>
      <c r="H23" s="352"/>
      <c r="I23" s="361"/>
    </row>
    <row r="24" s="334" customFormat="1" ht="24.75" hidden="1" customHeight="1">
      <c r="A24" s="89"/>
      <c r="B24" s="342"/>
      <c r="C24" s="342"/>
      <c r="D24" s="363" t="s">
        <v>87</v>
      </c>
      <c r="E24" s="364" t="s">
        <v>313</v>
      </c>
      <c r="F24" s="157" t="s">
        <v>294</v>
      </c>
      <c r="G24" s="364"/>
    </row>
    <row r="25" s="334" customFormat="1" ht="11.25" hidden="1" customHeight="1">
      <c r="A25" s="89"/>
      <c r="B25" s="342"/>
      <c r="C25" s="342"/>
      <c r="D25" s="363" t="s">
        <v>314</v>
      </c>
      <c r="E25" s="365" t="s">
        <v>315</v>
      </c>
      <c r="F25" s="157" t="s">
        <v>294</v>
      </c>
      <c r="G25" s="364"/>
    </row>
    <row r="26" s="334" customFormat="1" ht="11.25" hidden="1" customHeight="1">
      <c r="A26" s="89"/>
      <c r="B26" s="342"/>
      <c r="C26" s="342"/>
      <c r="D26" s="363" t="s">
        <v>316</v>
      </c>
      <c r="E26" s="366" t="s">
        <v>317</v>
      </c>
      <c r="F26" s="367"/>
      <c r="G26" s="3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334" customFormat="1" ht="11.25" hidden="1" customHeight="1">
      <c r="A27" s="89"/>
      <c r="B27" s="342"/>
      <c r="C27" s="342"/>
      <c r="D27" s="363" t="s">
        <v>318</v>
      </c>
      <c r="E27" s="366" t="s">
        <v>319</v>
      </c>
      <c r="F27" s="367"/>
      <c r="G27" s="3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334" customFormat="1" ht="11.25" hidden="1" customHeight="1">
      <c r="A28" s="89"/>
      <c r="B28" s="342"/>
      <c r="C28" s="342"/>
      <c r="D28" s="363" t="s">
        <v>320</v>
      </c>
      <c r="E28" s="366" t="s">
        <v>321</v>
      </c>
      <c r="F28" s="367"/>
      <c r="G28" s="3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 xml:space="preserve">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334" customFormat="1" ht="11.25" hidden="1" customHeight="1">
      <c r="A29" s="89"/>
      <c r="B29" s="342"/>
      <c r="C29" s="342"/>
      <c r="D29" s="363" t="s">
        <v>322</v>
      </c>
      <c r="E29" s="365" t="s">
        <v>323</v>
      </c>
      <c r="F29" s="367"/>
      <c r="G29" s="364"/>
    </row>
    <row r="30" s="334" customFormat="1" ht="11.25" hidden="1" customHeight="1">
      <c r="A30" s="89"/>
      <c r="B30" s="342"/>
      <c r="C30" s="342"/>
      <c r="D30" s="363" t="s">
        <v>324</v>
      </c>
      <c r="E30" s="365" t="s">
        <v>325</v>
      </c>
      <c r="F30" s="367"/>
      <c r="G30" s="364"/>
    </row>
    <row r="31" s="334" customFormat="1" ht="11.25" hidden="1" customHeight="1">
      <c r="A31" s="89"/>
      <c r="B31" s="342"/>
      <c r="C31" s="342"/>
      <c r="D31" s="363" t="s">
        <v>326</v>
      </c>
      <c r="E31" s="365" t="s">
        <v>327</v>
      </c>
      <c r="F31" s="367"/>
      <c r="G31" s="364"/>
    </row>
    <row r="32" ht="22.5" customHeight="1">
      <c r="A32" s="89" t="str">
        <f>IF(TEMPLATE_SPHERE="HEAT","6","5")</f>
        <v>6</v>
      </c>
      <c r="B32" s="342"/>
      <c r="C32" s="89"/>
      <c r="D32" s="360" t="str">
        <f>A32</f>
        <v>6</v>
      </c>
      <c r="E32" s="3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 xml:space="preserve">Фамилия, имя и отчество руководителя регулируемой организации, ЕТО, ТО  (индивидуального предпринимателя):</v>
      </c>
      <c r="F32" s="247" t="s">
        <v>294</v>
      </c>
      <c r="G32" s="355"/>
      <c r="H32" s="352"/>
    </row>
    <row r="33" ht="22.5" customHeight="1">
      <c r="A33" s="89"/>
      <c r="B33" s="342"/>
      <c r="C33" s="89"/>
      <c r="D33" s="360" t="str">
        <f>D32&amp;".1"</f>
        <v>6.1</v>
      </c>
      <c r="E33" s="356" t="str">
        <f>"фамилия"&amp;IF(TEMPLATE_SPHERE&lt;&gt;"HEAT"," руководителя","")</f>
        <v>фамилия</v>
      </c>
      <c r="F33" s="357"/>
      <c r="G33" s="35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фамилия руководителя регулируемой организации, ЕТО, ТО в соответствии с паспортными данными физического лица.</v>
      </c>
      <c r="H33" s="352"/>
    </row>
    <row r="34" ht="22.5" customHeight="1">
      <c r="A34" s="89"/>
      <c r="B34" s="342"/>
      <c r="C34" s="89"/>
      <c r="D34" s="360" t="str">
        <f>D32&amp;".2"</f>
        <v>6.2</v>
      </c>
      <c r="E34" s="356" t="str">
        <f>"имя"&amp;IF(TEMPLATE_SPHERE&lt;&gt;"HEAT"," руководителя","")</f>
        <v>имя</v>
      </c>
      <c r="F34" s="357"/>
      <c r="G34" s="35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имя руководителя регулируемой организации, ЕТО, ТО в соответствии с паспортными данными физического лица.</v>
      </c>
      <c r="H34" s="352"/>
    </row>
    <row r="35" ht="22.5" customHeight="1">
      <c r="A35" s="89"/>
      <c r="B35" s="342"/>
      <c r="C35" s="89"/>
      <c r="D35" s="360" t="str">
        <f>D32&amp;".3"</f>
        <v>6.3</v>
      </c>
      <c r="E35" s="356" t="str">
        <f>"отчество"&amp;IF(TEMPLATE_SPHERE&lt;&gt;"HEAT"," руководителя","")</f>
        <v>отчество</v>
      </c>
      <c r="F35" s="369"/>
      <c r="G35" s="35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 xml:space="preserve">Указывается отчество руководителя регулируемой организации, ЕТО, ТО в соответствии с паспортными данными физического лица (при наличии).</v>
      </c>
      <c r="H35" s="352"/>
    </row>
    <row r="36" ht="33.75" customHeight="1">
      <c r="A36" s="89"/>
      <c r="B36" s="342"/>
      <c r="C36" s="89"/>
      <c r="D36" s="360">
        <f>D32+1</f>
        <v>7</v>
      </c>
      <c r="E36" s="368" t="str">
        <f>"Почтовый адрес органов управления"&amp;IF(TEMPLATE_SPHERE&lt;&gt;"TKO"," регулируемой","")&amp;" организации"&amp;IF(TEMPLATE_SPHERE="HEAT",", ЕТО, ТО","")</f>
        <v xml:space="preserve">Почтовый адрес органов управления регулируемой организации, ЕТО, ТО</v>
      </c>
      <c r="F36" s="357"/>
      <c r="G36" s="354" t="s">
        <v>328</v>
      </c>
      <c r="H36" s="352"/>
    </row>
    <row r="37" ht="33.75" customHeight="1">
      <c r="A37" s="89"/>
      <c r="B37" s="342"/>
      <c r="C37" s="89"/>
      <c r="D37" s="360">
        <f t="shared" ref="D37:D38" si="1">D36+1</f>
        <v>8</v>
      </c>
      <c r="E37" s="368" t="str">
        <f>"Адрес места нахождения органов управления"&amp;IF(TEMPLATE_SPHERE&lt;&gt;"TKO"," регулируемой","")&amp;" организации"&amp;IF(TEMPLATE_SPHERE="HEAT",", ЕТО, ТО","")</f>
        <v xml:space="preserve">Адрес места нахождения органов управления регулируемой организации, ЕТО, ТО</v>
      </c>
      <c r="F37" s="357"/>
      <c r="G37" s="354" t="s">
        <v>328</v>
      </c>
      <c r="H37" s="352"/>
    </row>
    <row r="38" ht="22.5" customHeight="1">
      <c r="A38" s="89"/>
      <c r="B38" s="342"/>
      <c r="C38" s="89"/>
      <c r="D38" s="360">
        <f t="shared" si="1"/>
        <v>9</v>
      </c>
      <c r="E38" s="370" t="str">
        <f>"Контактные телефоны "&amp;IF(TEMPLATE_SPHERE="TKO","","регулируемой ")&amp;"организации"&amp;IF(TEMPLATE_SPHERE="HEAT",", ЕТО, ТО",IF(TEMPLATE_SPHERE="TKO"," (индивидуального предпринимателя)",""))</f>
        <v xml:space="preserve">Контактные телефоны регулируемой организации, ЕТО, ТО</v>
      </c>
      <c r="F38" s="247" t="s">
        <v>294</v>
      </c>
      <c r="G38" s="3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 xml:space="preserve">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52"/>
    </row>
    <row r="39" ht="22.5" hidden="1" customHeight="1">
      <c r="A39" s="89"/>
      <c r="B39" s="342"/>
      <c r="C39" s="89"/>
      <c r="D39" s="360" t="str">
        <f>D38&amp;".0"</f>
        <v>9.0</v>
      </c>
      <c r="E39" s="372"/>
      <c r="F39" s="373"/>
      <c r="G39" s="374"/>
      <c r="H39" s="352"/>
    </row>
    <row r="40" ht="22.5" customHeight="1">
      <c r="A40" s="89"/>
      <c r="B40" s="89"/>
      <c r="C40" s="375"/>
      <c r="D40" s="360" t="str">
        <f>D38&amp;".1"</f>
        <v>9.1</v>
      </c>
      <c r="E40" s="376"/>
      <c r="F40" s="377"/>
      <c r="G40" s="374"/>
      <c r="H40" s="352"/>
    </row>
    <row r="41" ht="15" customHeight="1">
      <c r="A41" s="89"/>
      <c r="B41" s="342"/>
      <c r="C41" s="89"/>
      <c r="D41" s="378"/>
      <c r="E41" s="174" t="s">
        <v>329</v>
      </c>
      <c r="F41" s="379"/>
      <c r="G41" s="380"/>
      <c r="H41" s="381"/>
    </row>
    <row r="42" ht="25.5" customHeight="1">
      <c r="A42" s="89"/>
      <c r="B42" s="342"/>
      <c r="C42" s="89"/>
      <c r="D42" s="360">
        <f>D38+1</f>
        <v>10</v>
      </c>
      <c r="E42" s="368" t="str">
        <f>IF(TEMPLATE_SPHERE="TKO","Адрес официального сайта организации в сети «Интернет»","Официальный сайт регулируемой организации"&amp;IF(TEMPLATE_SPHERE="HEAT",", ЕТО, ТО","")&amp;" в сети «Интернет»")</f>
        <v xml:space="preserve">Официальный сайт регулируемой организации, ЕТО, ТО в сети «Интернет»</v>
      </c>
      <c r="F42" s="382"/>
      <c r="G42" s="35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 xml:space="preserve">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52"/>
    </row>
    <row r="43" ht="22.5" customHeight="1">
      <c r="A43" s="89"/>
      <c r="B43" s="342"/>
      <c r="C43" s="89"/>
      <c r="D43" s="360">
        <f t="shared" ref="D43:D44" si="2">D42+1</f>
        <v>11</v>
      </c>
      <c r="E43" s="368" t="str">
        <f>"Адрес электронной почты "&amp;IF(TEMPLATE_SPHERE="TKO","","регулируемой ")&amp;"организации"&amp;IF(TEMPLATE_SPHERE="HEAT",", ЕТО, ТО",IF(TEMPLATE_SPHERE="TKO"," (индивидуального предпринимателя)",""))</f>
        <v xml:space="preserve">Адрес электронной почты регулируемой организации, ЕТО, ТО</v>
      </c>
      <c r="F43" s="383"/>
      <c r="G43" s="355" t="s">
        <v>330</v>
      </c>
      <c r="H43" s="352"/>
    </row>
    <row r="44" ht="22.5" customHeight="1">
      <c r="A44" s="89"/>
      <c r="B44" s="342"/>
      <c r="C44" s="89"/>
      <c r="D44" s="360">
        <f t="shared" si="2"/>
        <v>12</v>
      </c>
      <c r="E44" s="368" t="s">
        <v>331</v>
      </c>
      <c r="F44" s="247" t="s">
        <v>294</v>
      </c>
      <c r="G44" s="370" t="str">
        <f>IF(TEMPLATE_SPHERE="TKO","Указывается режим работы организации.","")</f>
        <v/>
      </c>
      <c r="H44" s="352"/>
    </row>
    <row r="45" ht="22.5" customHeight="1">
      <c r="A45" s="89"/>
      <c r="B45" s="342"/>
      <c r="C45" s="89"/>
      <c r="D45" s="360" t="str">
        <f>D44&amp;".1"</f>
        <v>12.1</v>
      </c>
      <c r="E45" s="356" t="str">
        <f>"режим работы регулируемой организации"&amp;IF(TEMPLATE_SPHERE="HEAT",", ЕТО, ТО","")</f>
        <v xml:space="preserve">режим работы регулируемой организации, ЕТО, ТО</v>
      </c>
      <c r="F45" s="384"/>
      <c r="G45" s="370" t="s">
        <v>332</v>
      </c>
      <c r="H45" s="352"/>
    </row>
    <row r="46" ht="22.5" customHeight="1">
      <c r="A46" s="385"/>
      <c r="B46" s="342"/>
      <c r="C46" s="386"/>
      <c r="D46" s="360" t="str">
        <f>D44&amp;".2"</f>
        <v>12.2</v>
      </c>
      <c r="E46" s="356" t="s">
        <v>333</v>
      </c>
      <c r="F46" s="384"/>
      <c r="G46" s="370" t="s">
        <v>334</v>
      </c>
      <c r="H46" s="352"/>
    </row>
    <row r="47" ht="22.5" customHeight="1">
      <c r="A47" s="385"/>
      <c r="B47" s="342"/>
      <c r="C47" s="386"/>
      <c r="D47" s="360" t="str">
        <f>D44&amp;".3"</f>
        <v>12.3</v>
      </c>
      <c r="E47" s="356" t="s">
        <v>335</v>
      </c>
      <c r="F47" s="384"/>
      <c r="G47" s="370" t="s">
        <v>336</v>
      </c>
      <c r="H47" s="352"/>
    </row>
    <row r="48" ht="22.5" customHeight="1">
      <c r="A48" s="385"/>
      <c r="B48" s="342"/>
      <c r="C48" s="386"/>
      <c r="D48" s="360" t="str">
        <f>IF(TEMPLATE_SPHERE="TKO",D44&amp;".0",D44&amp;".4")</f>
        <v>12.4</v>
      </c>
      <c r="E48" s="387" t="s">
        <v>337</v>
      </c>
      <c r="F48" s="388"/>
      <c r="G48" s="389" t="s">
        <v>338</v>
      </c>
      <c r="H48" s="352"/>
    </row>
    <row r="49" ht="22.5" customHeight="1">
      <c r="A49" s="89"/>
      <c r="B49" s="342"/>
      <c r="C49" s="89"/>
      <c r="D49" s="378"/>
      <c r="E49" s="174" t="s">
        <v>339</v>
      </c>
      <c r="F49" s="390"/>
      <c r="G49" s="389" t="s">
        <v>340</v>
      </c>
      <c r="H49" s="381"/>
    </row>
    <row r="50" ht="22.5" customHeight="1">
      <c r="A50" s="385"/>
      <c r="B50" s="342"/>
      <c r="C50" s="386"/>
      <c r="D50" s="360">
        <f>D44+1</f>
        <v>13</v>
      </c>
      <c r="E50" s="391" t="s">
        <v>341</v>
      </c>
      <c r="F50" s="384"/>
      <c r="G50" s="3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 xml:space="preserve">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52"/>
    </row>
    <row r="51" ht="11.25" customHeight="1">
      <c r="A51" s="89"/>
      <c r="B51" s="342"/>
      <c r="C51" s="89"/>
    </row>
    <row r="52" s="393" customFormat="1" ht="30" customHeight="1">
      <c r="A52" s="394"/>
      <c r="B52" s="57"/>
      <c r="C52" s="395"/>
      <c r="D52" s="39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 xml:space="preserve">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96"/>
      <c r="F52" s="396"/>
      <c r="G52" s="396"/>
      <c r="H52" s="182"/>
      <c r="I52" s="182"/>
    </row>
    <row r="53" s="393" customFormat="1" ht="39.75" customHeight="1">
      <c r="A53" s="89"/>
      <c r="B53" s="342"/>
      <c r="C53" s="395"/>
      <c r="D53" s="396" t="str">
        <f>IF(ORG_INFO_P_NOTE_MAIN=0,"",ORG_INFO_P_NOTE_MAIN)</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96"/>
      <c r="F53" s="396"/>
      <c r="G53" s="396"/>
    </row>
    <row r="54" ht="11.25" customHeight="1">
      <c r="D54" s="397"/>
      <c r="E54" s="398"/>
      <c r="F54" s="398"/>
      <c r="G54" s="398"/>
    </row>
    <row r="55" ht="27" customHeight="1">
      <c r="D55" s="399"/>
      <c r="E55" s="397"/>
      <c r="F55" s="400"/>
      <c r="G55" s="400"/>
    </row>
    <row r="56" ht="11.25" customHeight="1">
      <c r="D56" s="397"/>
      <c r="E56" s="397"/>
      <c r="F56" s="398"/>
      <c r="G56" s="398"/>
    </row>
    <row r="57" ht="39" customHeight="1">
      <c r="D57" s="401"/>
      <c r="E57" s="402"/>
      <c r="F57" s="402"/>
      <c r="G57" s="402"/>
    </row>
    <row r="58" ht="27" customHeight="1">
      <c r="D58" s="401"/>
      <c r="E58" s="402"/>
      <c r="F58" s="402"/>
      <c r="G58" s="402"/>
    </row>
  </sheetData>
  <sheetProtection autoFilter="0" deleteColumns="0" deleteRows="0" formatCells="1" formatColumns="0" formatRows="0" insertColumns="1" insertHyperlinks="1" insertRows="0" pivotTables="1" selectLockedCells="0" selectUnlockedCells="0" sheet="0" sort="0"/>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1" disablePrompts="0">
    <dataValidation sqref="F21 F1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260045-0074-49CC-B3D6-006A0008005E}" type="textLength" allowBlank="1" error="Допускается ввод не более 900 символов!" errorStyle="stop" errorTitle="Ошибка" imeMode="noControl" operator="lessThanOrEqual" showDropDown="0" showErrorMessage="1" showInputMessage="1">
          <x14:formula1>
            <xm:f>900</xm:f>
          </x14:formula1>
          <xm:sqref>F13 F42:F43 F26:F31 F16 F22:F23 F18 F20 F33:F37 E39:F40</xm:sqref>
        </x14:dataValidation>
        <x14:dataValidation xr:uid="{004F00F9-0006-4C2C-8E77-00AD00F40072}"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F50 F45:F48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topLeftCell="C3" zoomScale="90" workbookViewId="0">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7" width="3.7109375"/>
    <col customWidth="1" min="4" max="4" style="50" width="5.57421875"/>
    <col customWidth="1" min="5" max="5" style="50" width="48.421875"/>
    <col customWidth="1" min="6" max="6" style="50" width="38.140625"/>
    <col customWidth="1" hidden="1" min="7" max="7" style="50" width="1.7109375"/>
    <col customWidth="1" min="8" max="11" style="50" width="19.8515625"/>
    <col customWidth="1" min="12" max="12" style="50" width="9.7109375"/>
    <col customWidth="1" min="13" max="18" style="50" width="19.8515625"/>
    <col customWidth="1" hidden="1" min="19" max="19" style="50" width="1.7109375"/>
    <col customWidth="1" hidden="1" min="20" max="22" style="50" width="19.8515625"/>
    <col customWidth="1" hidden="1" min="23" max="23" style="50" width="1.7109375"/>
    <col customWidth="1" hidden="1" min="24" max="26" style="50" width="19.8515625"/>
    <col customWidth="1" hidden="1" min="27" max="27" style="50" width="1.7109375"/>
    <col customWidth="1" hidden="1" min="28" max="29" style="50" width="19.8515625"/>
    <col customWidth="1" hidden="1" min="30" max="30" style="50" width="1.7109375"/>
    <col customWidth="1" min="31" max="31" style="50" width="103.7109375"/>
    <col customWidth="1" hidden="1" min="32" max="34" style="50" width="103.7109375"/>
    <col customWidth="1" min="35" max="35" style="138" width="3.7109375"/>
    <col min="36" max="38" style="57" width="10.57421875"/>
    <col customWidth="1" hidden="1" min="39" max="39" style="57" width="13.7109375"/>
    <col customWidth="1" min="40" max="40" style="57" width="15.421875"/>
    <col customWidth="1" min="41" max="41" style="57" width="16.28125"/>
    <col min="42" max="45" style="57" width="10.57421875"/>
  </cols>
  <sheetData>
    <row r="1" ht="14.25" hidden="1" customHeight="1">
      <c r="E1" s="170"/>
      <c r="F1" s="170"/>
      <c r="G1" s="170"/>
      <c r="H1" s="113" t="s">
        <v>342</v>
      </c>
      <c r="I1" s="113"/>
      <c r="J1" s="113"/>
      <c r="K1" s="113"/>
      <c r="L1" s="113"/>
      <c r="M1" s="113"/>
      <c r="N1" s="113"/>
      <c r="O1" s="113"/>
      <c r="P1" s="113"/>
      <c r="Q1" s="113"/>
      <c r="R1" s="113"/>
      <c r="T1" s="113" t="s">
        <v>343</v>
      </c>
      <c r="U1" s="113"/>
      <c r="V1" s="113"/>
      <c r="X1" s="113" t="s">
        <v>344</v>
      </c>
      <c r="Y1" s="113"/>
      <c r="Z1" s="113"/>
      <c r="AB1" s="113" t="s">
        <v>345</v>
      </c>
      <c r="AC1" s="113"/>
    </row>
    <row r="2" ht="14.25" hidden="1" customHeight="1"/>
    <row r="3" s="70" customFormat="1" ht="6" customHeight="1">
      <c r="C3" s="403"/>
      <c r="D3" s="404"/>
      <c r="E3" s="404"/>
      <c r="F3" s="404"/>
      <c r="G3" s="404"/>
      <c r="H3" s="404" t="s">
        <v>346</v>
      </c>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J3" s="57"/>
      <c r="AK3" s="57"/>
      <c r="AL3" s="57"/>
      <c r="AM3" s="57"/>
      <c r="AN3" s="57"/>
      <c r="AO3" s="57"/>
      <c r="AP3" s="57"/>
      <c r="AQ3" s="57"/>
      <c r="AR3" s="57"/>
      <c r="AS3" s="57"/>
    </row>
    <row r="4" ht="37.5" customHeight="1">
      <c r="C4" s="375"/>
      <c r="D4" s="237" t="str">
        <f>ORG_VD_NAME_FORM</f>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
      <c r="F4" s="238"/>
      <c r="G4" s="238"/>
      <c r="H4" s="238"/>
      <c r="I4" s="238"/>
      <c r="J4" s="238"/>
      <c r="K4" s="238"/>
      <c r="L4" s="238"/>
      <c r="M4" s="238"/>
      <c r="N4" s="238"/>
      <c r="O4" s="238"/>
      <c r="P4" s="238"/>
      <c r="Q4" s="238"/>
      <c r="R4" s="239"/>
      <c r="S4" s="405"/>
      <c r="T4" s="298"/>
      <c r="U4" s="298"/>
      <c r="V4" s="298"/>
      <c r="W4" s="298"/>
      <c r="X4" s="298"/>
      <c r="Y4" s="298"/>
      <c r="Z4" s="298"/>
      <c r="AA4" s="298"/>
      <c r="AB4" s="298"/>
      <c r="AC4" s="298"/>
      <c r="AD4" s="298"/>
      <c r="AE4" s="406"/>
      <c r="AF4" s="406"/>
      <c r="AG4" s="406"/>
      <c r="AH4" s="406"/>
      <c r="AI4" s="240"/>
    </row>
    <row r="5" s="50" customFormat="1" ht="17.25" customHeight="1">
      <c r="A5" s="56"/>
      <c r="C5" s="375"/>
      <c r="D5" s="407" t="str">
        <f>IF(org=0,"Не определено",org)</f>
        <v xml:space="preserve">филиал ПАО "ОГК-2" - Адлерская ТЭС</v>
      </c>
      <c r="E5" s="408"/>
      <c r="F5" s="408"/>
      <c r="G5" s="408"/>
      <c r="H5" s="408"/>
      <c r="I5" s="408"/>
      <c r="J5" s="408"/>
      <c r="K5" s="408"/>
      <c r="L5" s="408"/>
      <c r="M5" s="408"/>
      <c r="N5" s="408"/>
      <c r="O5" s="408"/>
      <c r="P5" s="408"/>
      <c r="Q5" s="408"/>
      <c r="R5" s="409"/>
      <c r="S5" s="405"/>
      <c r="T5" s="298"/>
      <c r="U5" s="298"/>
      <c r="V5" s="298"/>
      <c r="W5" s="298"/>
      <c r="X5" s="298"/>
      <c r="Y5" s="298"/>
      <c r="Z5" s="298"/>
      <c r="AA5" s="298"/>
      <c r="AB5" s="298"/>
      <c r="AC5" s="298"/>
      <c r="AD5" s="298"/>
      <c r="AE5" s="406"/>
      <c r="AF5" s="406"/>
      <c r="AG5" s="406"/>
      <c r="AH5" s="406"/>
      <c r="AI5" s="240"/>
      <c r="AJ5" s="57"/>
      <c r="AK5" s="57"/>
      <c r="AL5" s="57"/>
      <c r="AM5" s="57"/>
      <c r="AN5" s="57"/>
      <c r="AO5" s="57"/>
      <c r="AP5" s="57"/>
      <c r="AQ5" s="57"/>
      <c r="AR5" s="57"/>
      <c r="AS5" s="57"/>
    </row>
    <row r="6" s="65" customFormat="1" ht="11.25" customHeight="1">
      <c r="A6" s="410"/>
      <c r="C6" s="411"/>
      <c r="D6" s="412"/>
      <c r="E6" s="412"/>
      <c r="F6" s="412"/>
      <c r="G6" s="412"/>
      <c r="H6" s="412"/>
      <c r="I6" s="412"/>
      <c r="J6" s="412"/>
      <c r="K6" s="412"/>
      <c r="L6" s="412"/>
      <c r="M6" s="412"/>
      <c r="N6" s="412"/>
      <c r="O6" s="412"/>
      <c r="P6" s="412"/>
      <c r="Q6" s="412"/>
      <c r="R6" s="341"/>
      <c r="S6" s="341"/>
      <c r="T6" s="412"/>
      <c r="U6" s="412"/>
      <c r="V6" s="413"/>
      <c r="W6" s="413"/>
      <c r="X6" s="412"/>
      <c r="Y6" s="412"/>
      <c r="Z6" s="413"/>
      <c r="AA6" s="413"/>
      <c r="AB6" s="412"/>
      <c r="AC6" s="413"/>
      <c r="AD6" s="413"/>
      <c r="AE6" s="412"/>
      <c r="AF6" s="412"/>
      <c r="AG6" s="412"/>
      <c r="AH6" s="412"/>
      <c r="AJ6" s="57"/>
      <c r="AK6" s="57"/>
      <c r="AL6" s="57"/>
      <c r="AM6" s="57"/>
      <c r="AN6" s="57"/>
      <c r="AO6" s="57"/>
      <c r="AP6" s="57"/>
      <c r="AQ6" s="57"/>
      <c r="AR6" s="57"/>
      <c r="AS6" s="57"/>
    </row>
    <row r="7" ht="14.25" customHeight="1">
      <c r="C7" s="375"/>
      <c r="D7" s="414" t="s">
        <v>288</v>
      </c>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6"/>
      <c r="AE7" s="247" t="s">
        <v>289</v>
      </c>
      <c r="AF7" s="247" t="s">
        <v>289</v>
      </c>
      <c r="AG7" s="247" t="s">
        <v>289</v>
      </c>
      <c r="AH7" s="247" t="s">
        <v>289</v>
      </c>
    </row>
    <row r="8" ht="25.5" customHeight="1">
      <c r="C8" s="375"/>
      <c r="D8" s="156" t="s">
        <v>85</v>
      </c>
      <c r="E8" s="247" t="str">
        <f>"Наименование "&amp;IF(TEMPLATE_SPHERE&lt;&gt;"HEAT","централизованной ","")&amp;"системы "&amp;TEMPLATE_SPHERE_RUS</f>
        <v xml:space="preserve">Наименование системы теплоснабжения</v>
      </c>
      <c r="F8" s="247" t="str">
        <f>IF(TEMPLATE_SPHERE&lt;&gt;"HEAT","Регулируемый вид деятельности","Вид регулируемой деятельности")</f>
        <v xml:space="preserve">Вид регулируемой деятельности</v>
      </c>
      <c r="G8" s="417"/>
      <c r="H8" s="417" t="s">
        <v>347</v>
      </c>
      <c r="I8" s="418" t="s">
        <v>348</v>
      </c>
      <c r="J8" s="247" t="s">
        <v>349</v>
      </c>
      <c r="K8" s="247"/>
      <c r="L8" s="247"/>
      <c r="M8" s="414"/>
      <c r="N8" s="247" t="s">
        <v>350</v>
      </c>
      <c r="O8" s="247"/>
      <c r="P8" s="247" t="s">
        <v>351</v>
      </c>
      <c r="Q8" s="247"/>
      <c r="R8" s="419" t="s">
        <v>352</v>
      </c>
      <c r="S8" s="419"/>
      <c r="T8" s="417" t="s">
        <v>353</v>
      </c>
      <c r="U8" s="417" t="s">
        <v>354</v>
      </c>
      <c r="V8" s="417" t="s">
        <v>355</v>
      </c>
      <c r="W8" s="417"/>
      <c r="X8" s="417" t="s">
        <v>356</v>
      </c>
      <c r="Y8" s="417" t="s">
        <v>357</v>
      </c>
      <c r="Z8" s="417" t="s">
        <v>358</v>
      </c>
      <c r="AA8" s="417"/>
      <c r="AB8" s="417" t="s">
        <v>359</v>
      </c>
      <c r="AC8" s="417" t="s">
        <v>352</v>
      </c>
      <c r="AD8" s="417"/>
      <c r="AE8" s="247"/>
      <c r="AF8" s="247"/>
      <c r="AG8" s="247"/>
      <c r="AH8" s="247"/>
    </row>
    <row r="9" ht="43.5" customHeight="1">
      <c r="C9" s="375"/>
      <c r="D9" s="156"/>
      <c r="E9" s="247"/>
      <c r="F9" s="247"/>
      <c r="G9" s="420"/>
      <c r="H9" s="420"/>
      <c r="I9" s="421"/>
      <c r="J9" s="247" t="s">
        <v>360</v>
      </c>
      <c r="K9" s="247" t="s">
        <v>361</v>
      </c>
      <c r="L9" s="247" t="s">
        <v>362</v>
      </c>
      <c r="M9" s="414" t="s">
        <v>363</v>
      </c>
      <c r="N9" s="247" t="s">
        <v>364</v>
      </c>
      <c r="O9" s="247" t="s">
        <v>363</v>
      </c>
      <c r="P9" s="247" t="s">
        <v>365</v>
      </c>
      <c r="Q9" s="247" t="s">
        <v>363</v>
      </c>
      <c r="R9" s="422"/>
      <c r="S9" s="422"/>
      <c r="T9" s="420"/>
      <c r="U9" s="420"/>
      <c r="V9" s="420"/>
      <c r="W9" s="420"/>
      <c r="X9" s="420"/>
      <c r="Y9" s="420"/>
      <c r="Z9" s="420"/>
      <c r="AA9" s="420"/>
      <c r="AB9" s="420"/>
      <c r="AC9" s="420"/>
      <c r="AD9" s="420"/>
      <c r="AE9" s="247"/>
      <c r="AF9" s="247"/>
      <c r="AG9" s="247"/>
      <c r="AH9" s="247"/>
    </row>
    <row r="10" ht="12" hidden="1" customHeight="1">
      <c r="C10" s="423"/>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50"/>
      <c r="AP10" s="128"/>
      <c r="AQ10" s="128"/>
    </row>
    <row r="11" s="130" customFormat="1" ht="11.25" hidden="1" customHeight="1">
      <c r="C11" s="425"/>
      <c r="D11" s="426" t="s">
        <v>366</v>
      </c>
      <c r="E11" s="426"/>
      <c r="F11" s="426"/>
      <c r="G11" s="426"/>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8"/>
      <c r="AF11" s="428"/>
      <c r="AG11" s="428"/>
      <c r="AH11" s="428"/>
      <c r="AJ11" s="57"/>
      <c r="AK11" s="57"/>
      <c r="AL11" s="57"/>
      <c r="AM11" s="57"/>
      <c r="AN11" s="57"/>
      <c r="AO11" s="57"/>
      <c r="AP11" s="57"/>
      <c r="AQ11" s="57"/>
      <c r="AR11" s="57"/>
      <c r="AS11" s="57"/>
    </row>
    <row r="12" ht="14.25" customHeight="1">
      <c r="A12" s="50"/>
      <c r="C12" s="375"/>
      <c r="D12" s="429" t="s">
        <v>111</v>
      </c>
      <c r="E12" s="369" t="s">
        <v>18</v>
      </c>
      <c r="F12" s="430"/>
      <c r="G12" s="431"/>
      <c r="H12" s="432"/>
      <c r="I12" s="432"/>
      <c r="J12" s="433"/>
      <c r="K12" s="434"/>
      <c r="L12" s="435"/>
      <c r="M12" s="434"/>
      <c r="N12" s="433"/>
      <c r="O12" s="434"/>
      <c r="P12" s="433"/>
      <c r="Q12" s="434"/>
      <c r="R12" s="433"/>
      <c r="S12" s="436"/>
      <c r="T12" s="432"/>
      <c r="U12" s="433"/>
      <c r="V12" s="433"/>
      <c r="W12" s="420"/>
      <c r="X12" s="432"/>
      <c r="Y12" s="433"/>
      <c r="Z12" s="433"/>
      <c r="AA12" s="420"/>
      <c r="AB12" s="432"/>
      <c r="AC12" s="433"/>
      <c r="AD12" s="420"/>
      <c r="AE12" s="437" t="s">
        <v>367</v>
      </c>
      <c r="AF12" s="437" t="s">
        <v>368</v>
      </c>
      <c r="AG12" s="437" t="s">
        <v>369</v>
      </c>
      <c r="AH12" s="437" t="s">
        <v>370</v>
      </c>
      <c r="AI12" s="50"/>
      <c r="AM12" s="57"/>
      <c r="AP12" s="128" t="s">
        <v>371</v>
      </c>
      <c r="AQ12" s="128" t="s">
        <v>371</v>
      </c>
    </row>
    <row r="13" ht="17.25" customHeight="1">
      <c r="A13" s="50"/>
      <c r="C13" s="375"/>
      <c r="D13" s="438"/>
      <c r="E13" s="439" t="str">
        <f>IF(TITLE_DIFFERENTIATION_TYPE="нет","","Добавить систему")</f>
        <v/>
      </c>
      <c r="F13" s="439" t="str">
        <f>IF(TITLE_DIFFERENTIATION_TYPE="нет","Добавить вид деятельности","")</f>
        <v xml:space="preserve">Добавить вид деятельности</v>
      </c>
      <c r="G13" s="440"/>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c r="AE13" s="443"/>
      <c r="AF13" s="443"/>
      <c r="AG13" s="443"/>
      <c r="AH13" s="443"/>
      <c r="AI13" s="50"/>
    </row>
    <row r="14" ht="14.25" customHeight="1">
      <c r="AI14" s="50"/>
    </row>
    <row r="15" ht="14.25" customHeight="1">
      <c r="E15" s="50"/>
      <c r="L15" s="50"/>
    </row>
    <row r="16" ht="14.25" customHeight="1">
      <c r="L16" s="50"/>
    </row>
    <row r="17" ht="14.25" customHeight="1">
      <c r="L17" s="50"/>
    </row>
  </sheetData>
  <sheetProtection autoFilter="0" deleteColumns="0" deleteRows="0" formatCells="1" formatColumns="0" formatRows="0" insertColumns="1" insertHyperlinks="1" insertRows="0" pivotTables="1" selectLockedCells="0" selectUnlockedCells="0" sheet="0" sort="0"/>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2" disablePrompts="0">
    <dataValidation sqref="F1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E11:G11" type="none" allowBlank="1" error="Допускается ввод только неотрицательных чисел!" errorStyle="stop" errorTitle="Ошибка" imeMode="noControl" operator="between" showDropDown="0" showErrorMessage="1"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000D0-006D-436C-884F-0024009B00AF}"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L12</xm:sqref>
        </x14:dataValidation>
        <x14:dataValidation xr:uid="{00860052-0052-4828-90AB-008B009300B7}"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N12 P12 U12:V12 Y12:Z12 J12 R12:S12 AC12</xm:sqref>
        </x14:dataValidation>
        <x14:dataValidation xr:uid="{009400F7-0062-4152-8CB6-005300370041}" type="textLength" allowBlank="1" error="Допускается ввод не более 900 символов!" errorStyle="stop" errorTitle="Ошибка" imeMode="noControl" operator="lessThanOrEqual" showDropDown="0" showErrorMessage="1" showInputMessage="1">
          <x14:formula1>
            <xm:f>900</xm:f>
          </x14:formula1>
          <xm:sqref>E12</xm:sqref>
        </x14:dataValidation>
        <x14:dataValidation xr:uid="{00FF00B0-00CE-4CAF-8A0A-00200025009A}"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H11:AD11 T12 H12:I12 AB12 X12 K12 M12 O12 Q12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topLeftCell="C5" zoomScale="90" workbookViewId="0">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7" width="3.7109375"/>
    <col customWidth="1" min="4" max="4" style="50" width="5.57421875"/>
    <col customWidth="1" min="5" max="5" style="50" width="38.140625"/>
    <col customWidth="1" min="6" max="7" style="50" width="3.7109375"/>
    <col customWidth="1" min="8" max="8" style="50" width="38.28125"/>
    <col customWidth="1" min="9" max="9" style="50" width="35.7109375"/>
    <col customWidth="1" min="10" max="10" style="50" width="103.7109375"/>
    <col customWidth="1" min="11" max="11" style="138" width="3.7109375"/>
    <col min="12" max="14" style="57" width="10.57421875"/>
    <col customWidth="1" min="15" max="15" style="57" width="13.7109375"/>
    <col customWidth="1" min="16" max="16" style="57" width="15.421875"/>
    <col customWidth="1" min="17" max="17" style="57" width="16.28125"/>
    <col min="18" max="21" style="57" width="10.57421875"/>
  </cols>
  <sheetData>
    <row r="1" ht="14.25" hidden="1" customHeight="1">
      <c r="E1" s="170"/>
      <c r="F1" s="170"/>
      <c r="G1" s="170"/>
      <c r="H1" s="113" t="s">
        <v>342</v>
      </c>
      <c r="I1" s="113"/>
    </row>
    <row r="2" s="50" customFormat="1" ht="14.25" hidden="1" customHeight="1">
      <c r="C2" s="375"/>
      <c r="D2" s="444" t="s">
        <v>111</v>
      </c>
      <c r="E2" s="445"/>
      <c r="F2" s="446"/>
      <c r="G2" s="219" t="s">
        <v>111</v>
      </c>
      <c r="H2" s="447"/>
      <c r="I2" s="448"/>
      <c r="L2" s="57"/>
      <c r="M2" s="57"/>
      <c r="N2" s="57"/>
      <c r="O2" s="57" t="s">
        <v>372</v>
      </c>
      <c r="P2" s="57"/>
      <c r="Q2" s="57"/>
      <c r="R2" s="128" t="s">
        <v>371</v>
      </c>
      <c r="S2" s="128" t="s">
        <v>371</v>
      </c>
      <c r="T2" s="57"/>
      <c r="U2" s="57"/>
    </row>
    <row r="3" s="50" customFormat="1" ht="14.25" hidden="1" customHeight="1">
      <c r="C3" s="375"/>
      <c r="D3" s="449"/>
      <c r="E3" s="450"/>
      <c r="F3" s="438"/>
      <c r="G3" s="439"/>
      <c r="H3" s="439" t="s">
        <v>373</v>
      </c>
      <c r="I3" s="440"/>
      <c r="L3" s="57"/>
      <c r="M3" s="57"/>
      <c r="N3" s="57"/>
      <c r="O3" s="57"/>
      <c r="P3" s="57"/>
      <c r="Q3" s="57"/>
      <c r="R3" s="128"/>
      <c r="S3" s="128"/>
      <c r="T3" s="57"/>
      <c r="U3" s="57"/>
    </row>
    <row r="4" ht="14.25" hidden="1" customHeight="1"/>
    <row r="5" s="70" customFormat="1" ht="6" customHeight="1">
      <c r="C5" s="403"/>
      <c r="D5" s="404"/>
      <c r="E5" s="404"/>
      <c r="F5" s="404"/>
      <c r="G5" s="404"/>
      <c r="H5" s="404" t="s">
        <v>346</v>
      </c>
      <c r="I5" s="404"/>
      <c r="J5" s="404"/>
      <c r="L5" s="57"/>
      <c r="M5" s="57"/>
      <c r="N5" s="57"/>
      <c r="O5" s="57"/>
      <c r="P5" s="57"/>
      <c r="Q5" s="57"/>
      <c r="R5" s="57"/>
      <c r="S5" s="57"/>
      <c r="T5" s="57"/>
      <c r="U5" s="57"/>
    </row>
    <row r="6" ht="27.75" customHeight="1">
      <c r="C6" s="375"/>
      <c r="D6" s="451" t="s">
        <v>374</v>
      </c>
      <c r="E6" s="451"/>
      <c r="F6" s="451"/>
      <c r="G6" s="451"/>
      <c r="H6" s="451"/>
      <c r="I6" s="451"/>
      <c r="J6" s="406"/>
      <c r="K6" s="240"/>
    </row>
    <row r="7" ht="17.25" customHeight="1">
      <c r="C7" s="375"/>
      <c r="D7" s="302" t="str">
        <f>IF(org=0,"Не определено",org)</f>
        <v xml:space="preserve">филиал ПАО "ОГК-2" - Адлерская ТЭС</v>
      </c>
      <c r="E7" s="302"/>
      <c r="F7" s="302"/>
      <c r="G7" s="302"/>
      <c r="H7" s="302"/>
      <c r="I7" s="302"/>
      <c r="J7" s="406"/>
      <c r="K7" s="240"/>
    </row>
    <row r="8" s="65" customFormat="1" ht="6" customHeight="1">
      <c r="A8" s="410"/>
      <c r="C8" s="411"/>
      <c r="D8" s="412"/>
      <c r="E8" s="412"/>
      <c r="F8" s="412"/>
      <c r="G8" s="412"/>
      <c r="H8" s="412"/>
      <c r="I8" s="412"/>
      <c r="J8" s="412"/>
      <c r="L8" s="57"/>
      <c r="M8" s="57"/>
      <c r="N8" s="57"/>
      <c r="O8" s="57"/>
      <c r="P8" s="57"/>
      <c r="Q8" s="57"/>
      <c r="R8" s="57"/>
      <c r="S8" s="57"/>
      <c r="T8" s="57"/>
      <c r="U8" s="57"/>
    </row>
    <row r="9" s="65" customFormat="1" ht="6" customHeight="1">
      <c r="A9" s="410"/>
      <c r="C9" s="411"/>
      <c r="D9" s="412"/>
      <c r="E9" s="412"/>
      <c r="F9" s="412"/>
      <c r="G9" s="412"/>
      <c r="H9" s="412"/>
      <c r="I9" s="412"/>
      <c r="J9" s="412"/>
      <c r="L9" s="57"/>
      <c r="M9" s="57"/>
      <c r="N9" s="57"/>
      <c r="O9" s="57"/>
      <c r="P9" s="57"/>
      <c r="Q9" s="57"/>
      <c r="R9" s="57"/>
      <c r="S9" s="57"/>
      <c r="T9" s="57"/>
      <c r="U9" s="57"/>
    </row>
    <row r="10" ht="14.25" customHeight="1">
      <c r="C10" s="375"/>
      <c r="D10" s="414" t="s">
        <v>288</v>
      </c>
      <c r="E10" s="415"/>
      <c r="F10" s="415"/>
      <c r="G10" s="415"/>
      <c r="H10" s="415"/>
      <c r="I10" s="415"/>
      <c r="J10" s="247" t="s">
        <v>289</v>
      </c>
    </row>
    <row r="11" ht="25.5" customHeight="1">
      <c r="C11" s="375"/>
      <c r="D11" s="156" t="s">
        <v>85</v>
      </c>
      <c r="E11" s="247" t="str">
        <f>IF(TEMPLATE_SPHERE&lt;&gt;"HEAT","Регулируемый вид деятельности","Вид регулируемой деятельности")</f>
        <v xml:space="preserve">Вид регулируемой деятельности</v>
      </c>
      <c r="F11" s="303" t="s">
        <v>85</v>
      </c>
      <c r="G11" s="304"/>
      <c r="H11" s="306" t="s">
        <v>375</v>
      </c>
      <c r="I11" s="306" t="s">
        <v>376</v>
      </c>
      <c r="J11" s="247"/>
    </row>
    <row r="12" ht="14.25" customHeight="1">
      <c r="C12" s="375"/>
      <c r="D12" s="156"/>
      <c r="E12" s="247"/>
      <c r="F12" s="309"/>
      <c r="G12" s="310"/>
      <c r="H12" s="161"/>
      <c r="I12" s="161"/>
      <c r="J12" s="247"/>
    </row>
    <row r="13" s="130" customFormat="1" ht="11.25" hidden="1" customHeight="1">
      <c r="C13" s="425"/>
      <c r="D13" s="426" t="s">
        <v>366</v>
      </c>
      <c r="E13" s="426"/>
      <c r="F13" s="426"/>
      <c r="G13" s="426"/>
      <c r="H13" s="427"/>
      <c r="I13" s="427"/>
      <c r="J13" s="428"/>
      <c r="L13" s="57"/>
      <c r="M13" s="57"/>
      <c r="N13" s="57"/>
      <c r="O13" s="57"/>
      <c r="P13" s="57"/>
      <c r="Q13" s="57"/>
      <c r="R13" s="57"/>
      <c r="S13" s="57"/>
      <c r="T13" s="57"/>
      <c r="U13" s="57"/>
    </row>
    <row r="14" ht="14.25" customHeight="1">
      <c r="A14" s="50"/>
      <c r="C14" s="375"/>
      <c r="D14" s="444" t="s">
        <v>111</v>
      </c>
      <c r="E14" s="445"/>
      <c r="F14" s="446"/>
      <c r="G14" s="219" t="s">
        <v>111</v>
      </c>
      <c r="H14" s="447"/>
      <c r="I14" s="448"/>
      <c r="J14" s="284" t="s">
        <v>377</v>
      </c>
      <c r="K14" s="50"/>
      <c r="R14" s="128" t="s">
        <v>371</v>
      </c>
      <c r="S14" s="128" t="s">
        <v>371</v>
      </c>
    </row>
    <row r="15" ht="14.25" customHeight="1">
      <c r="A15" s="50"/>
      <c r="C15" s="375"/>
      <c r="D15" s="449"/>
      <c r="E15" s="450"/>
      <c r="F15" s="438"/>
      <c r="G15" s="439"/>
      <c r="H15" s="439" t="s">
        <v>373</v>
      </c>
      <c r="I15" s="440"/>
      <c r="J15" s="286"/>
      <c r="K15" s="50"/>
      <c r="R15" s="128"/>
      <c r="S15" s="128"/>
    </row>
    <row r="16" ht="14.25" customHeight="1">
      <c r="A16" s="50"/>
      <c r="C16" s="375"/>
      <c r="D16" s="438"/>
      <c r="E16" s="439" t="s">
        <v>123</v>
      </c>
      <c r="F16" s="440"/>
      <c r="G16" s="440"/>
      <c r="H16" s="441"/>
      <c r="I16" s="441"/>
      <c r="J16" s="288"/>
      <c r="K16" s="50"/>
    </row>
    <row r="17" ht="14.25" customHeight="1">
      <c r="K17" s="50"/>
    </row>
  </sheetData>
  <sheetProtection autoFilter="0" deleteColumns="0" deleteRows="0" formatCells="1" formatColumns="0" formatRows="0" insertColumns="1" insertHyperlinks="1" insertRows="0" pivotTables="1" selectLockedCells="0" selectUnlockedCells="0" sheet="0" sort="0"/>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2" disablePrompts="0">
    <dataValidation sqref="E13:G13" type="none" allowBlank="1" error="Допускается ввод только неотрицательных чисел!" errorStyle="stop" errorTitle="Ошибка" imeMode="noControl" operator="between" showDropDown="0" showErrorMessage="1" showInputMessage="0"/>
    <dataValidation sqref="E14 E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A1005C-00C9-4758-811A-004A00C00020}" type="textLength" allowBlank="1" error="Допускается ввод не более 900 символов!" errorStyle="stop" errorTitle="Ошибка" imeMode="noControl" operator="lessThanOrEqual" showDropDown="0" showErrorMessage="1" showInputMessage="1">
          <x14:formula1>
            <xm:f>900</xm:f>
          </x14:formula1>
          <xm:sqref>H14 H2</xm:sqref>
        </x14:dataValidation>
        <x14:dataValidation xr:uid="{00F70053-000C-463A-A7C3-005D00AF00C5}"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H13:I13</xm:sqref>
        </x14:dataValidation>
        <x14:dataValidation xr:uid="{00A300DF-0055-4E97-93C3-0099005C0092}"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I14 I2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topLeftCell="D3" zoomScale="90" workbookViewId="0">
      <selection activeCell="A1" activeCellId="0" sqref="A1"/>
    </sheetView>
  </sheetViews>
  <sheetFormatPr defaultColWidth="10.57421875" defaultRowHeight="14.25" customHeight="1"/>
  <cols>
    <col customWidth="1" hidden="1" min="1" max="1" style="56" width="9.140625"/>
    <col customWidth="1" hidden="1" min="2" max="3" style="50" width="9.140625"/>
    <col customWidth="1" min="4" max="4" style="127" width="3.7109375"/>
    <col customWidth="1" min="5" max="5" style="50" width="6.28125"/>
    <col customWidth="1" hidden="1" min="6" max="6" style="50" width="1.7109375"/>
    <col customWidth="1" min="7" max="8" style="50" width="30.7109375"/>
    <col customWidth="1" min="9" max="9" style="50" width="9.00390625"/>
    <col customWidth="1" min="10" max="10" style="50" width="12.140625"/>
    <col customWidth="1" min="11" max="11" style="50" width="46.7109375"/>
    <col customWidth="1" min="12" max="12" style="50" width="100.28125"/>
    <col customWidth="1" min="13" max="13" style="138" width="7.57421875"/>
    <col min="14" max="22" style="50" width="10.57421875"/>
  </cols>
  <sheetData>
    <row r="1" s="57" customFormat="1" ht="5.25" hidden="1" customHeight="1">
      <c r="C1" s="57"/>
      <c r="D1" s="131"/>
      <c r="F1" s="57"/>
      <c r="G1" s="57" t="s">
        <v>80</v>
      </c>
      <c r="H1" s="57" t="s">
        <v>81</v>
      </c>
      <c r="I1" s="57" t="s">
        <v>82</v>
      </c>
      <c r="P1" s="57" t="s">
        <v>80</v>
      </c>
      <c r="Q1" s="57" t="s">
        <v>81</v>
      </c>
      <c r="R1" s="57" t="s">
        <v>82</v>
      </c>
    </row>
    <row r="2" s="57" customFormat="1" ht="5.25" hidden="1" customHeight="1">
      <c r="C2" s="57"/>
      <c r="D2" s="131"/>
      <c r="F2" s="57"/>
    </row>
    <row r="3" s="65" customFormat="1" ht="6" customHeight="1">
      <c r="A3" s="410"/>
      <c r="D3" s="411"/>
      <c r="E3" s="68"/>
      <c r="F3" s="68"/>
      <c r="G3" s="68"/>
      <c r="H3" s="68"/>
      <c r="I3" s="452"/>
      <c r="J3" s="453"/>
      <c r="K3" s="453"/>
      <c r="L3" s="453"/>
    </row>
    <row r="4" ht="22.5" customHeight="1">
      <c r="D4" s="375"/>
      <c r="E4" s="186" t="s">
        <v>378</v>
      </c>
      <c r="F4" s="186"/>
      <c r="G4" s="187"/>
      <c r="H4" s="187"/>
      <c r="I4" s="188"/>
      <c r="J4" s="406"/>
      <c r="K4" s="454"/>
      <c r="L4" s="454"/>
    </row>
    <row r="5" s="50" customFormat="1" ht="17.25" customHeight="1">
      <c r="A5" s="56"/>
      <c r="D5" s="375"/>
      <c r="E5" s="407" t="str">
        <f>IF(org=0,"Не определено",org)</f>
        <v xml:space="preserve">филиал ПАО "ОГК-2" - Адлерская ТЭС</v>
      </c>
      <c r="F5" s="407"/>
      <c r="G5" s="408"/>
      <c r="H5" s="408"/>
      <c r="I5" s="409"/>
      <c r="J5" s="406"/>
      <c r="K5" s="454"/>
      <c r="L5" s="454"/>
      <c r="M5" s="138"/>
    </row>
    <row r="6" s="65" customFormat="1" ht="11.25" customHeight="1">
      <c r="A6" s="410"/>
      <c r="D6" s="411"/>
      <c r="E6" s="68"/>
      <c r="F6" s="68"/>
      <c r="G6" s="455"/>
      <c r="H6" s="455"/>
      <c r="I6" s="412"/>
      <c r="J6" s="412"/>
      <c r="K6" s="341"/>
      <c r="L6" s="412"/>
    </row>
    <row r="7" ht="14.25" customHeight="1">
      <c r="D7" s="375"/>
      <c r="E7" s="346" t="s">
        <v>288</v>
      </c>
      <c r="F7" s="346"/>
      <c r="G7" s="347"/>
      <c r="H7" s="347"/>
      <c r="I7" s="347"/>
      <c r="J7" s="347"/>
      <c r="K7" s="347"/>
      <c r="L7" s="247" t="s">
        <v>289</v>
      </c>
    </row>
    <row r="8" ht="45" customHeight="1">
      <c r="D8" s="375"/>
      <c r="E8" s="347" t="s">
        <v>85</v>
      </c>
      <c r="F8" s="347"/>
      <c r="G8" s="156" t="s">
        <v>83</v>
      </c>
      <c r="H8" s="156" t="s">
        <v>84</v>
      </c>
      <c r="I8" s="247" t="s">
        <v>82</v>
      </c>
      <c r="J8" s="247" t="s">
        <v>379</v>
      </c>
      <c r="K8" s="247" t="s">
        <v>380</v>
      </c>
      <c r="L8" s="247"/>
    </row>
    <row r="9" ht="12" hidden="1" customHeight="1">
      <c r="D9" s="423"/>
      <c r="E9" s="456"/>
      <c r="F9" s="456"/>
      <c r="G9" s="456"/>
      <c r="H9" s="456"/>
      <c r="I9" s="456"/>
      <c r="J9" s="456"/>
      <c r="K9" s="456"/>
      <c r="L9" s="456"/>
      <c r="M9" s="50"/>
    </row>
    <row r="10" ht="14.25" hidden="1" customHeight="1">
      <c r="A10" s="50"/>
      <c r="B10" s="50"/>
      <c r="D10" s="375"/>
      <c r="E10" s="156">
        <v>0</v>
      </c>
      <c r="F10" s="156"/>
      <c r="G10" s="457"/>
      <c r="H10" s="457"/>
      <c r="I10" s="457"/>
      <c r="J10" s="457"/>
      <c r="K10" s="457"/>
      <c r="L10" s="437" t="s">
        <v>381</v>
      </c>
      <c r="M10" s="138"/>
      <c r="N10" s="50"/>
      <c r="O10" s="50"/>
      <c r="P10" s="50"/>
      <c r="Q10" s="50"/>
      <c r="R10" s="50"/>
      <c r="S10" s="50"/>
      <c r="T10" s="50"/>
      <c r="U10" s="50"/>
      <c r="V10" s="50"/>
    </row>
    <row r="11" ht="15" hidden="1" customHeight="1">
      <c r="A11" s="51"/>
      <c r="B11" s="142"/>
      <c r="C11" s="142"/>
      <c r="D11" s="458"/>
      <c r="E11" s="459"/>
      <c r="F11" s="459"/>
      <c r="G11" s="459"/>
      <c r="H11" s="459"/>
      <c r="I11" s="215"/>
      <c r="J11" s="460"/>
      <c r="K11" s="461"/>
      <c r="L11" s="462"/>
      <c r="M11" s="57"/>
      <c r="N11" s="57"/>
      <c r="O11" s="57"/>
      <c r="P11" s="463"/>
      <c r="Q11" s="463"/>
      <c r="R11" s="464"/>
      <c r="S11" s="57"/>
      <c r="T11" s="57"/>
      <c r="U11" s="57"/>
      <c r="V11" s="57"/>
    </row>
    <row r="12" s="65" customFormat="1" ht="14.25" customHeight="1">
      <c r="A12" s="51"/>
      <c r="B12" s="142"/>
      <c r="C12" s="142"/>
      <c r="D12" s="465"/>
      <c r="E12" s="347">
        <v>1</v>
      </c>
      <c r="F12" s="466">
        <v>23</v>
      </c>
      <c r="G12" s="467"/>
      <c r="H12" s="163"/>
      <c r="I12" s="164"/>
      <c r="J12" s="468" t="s">
        <v>56</v>
      </c>
      <c r="K12" s="469" t="s">
        <v>18</v>
      </c>
      <c r="L12" s="462"/>
      <c r="M12" s="57"/>
      <c r="N12" s="57"/>
      <c r="O12" s="57"/>
      <c r="P12" s="463" t="s">
        <v>382</v>
      </c>
      <c r="Q12" s="463" t="s">
        <v>383</v>
      </c>
      <c r="R12" s="464" t="s">
        <v>384</v>
      </c>
      <c r="S12" s="57" t="s">
        <v>385</v>
      </c>
      <c r="T12" s="57"/>
      <c r="U12" s="57"/>
      <c r="V12" s="57"/>
    </row>
    <row r="13" ht="15" customHeight="1">
      <c r="A13" s="51"/>
      <c r="B13" s="50"/>
      <c r="D13" s="375"/>
      <c r="E13" s="438"/>
      <c r="F13" s="470"/>
      <c r="G13" s="179" t="s">
        <v>104</v>
      </c>
      <c r="H13" s="471"/>
      <c r="I13" s="471"/>
      <c r="J13" s="471"/>
      <c r="K13" s="472"/>
      <c r="L13" s="443"/>
      <c r="M13" s="50"/>
      <c r="N13" s="50"/>
      <c r="O13" s="50"/>
      <c r="P13" s="50"/>
      <c r="Q13" s="50"/>
      <c r="R13" s="50"/>
      <c r="S13" s="50"/>
      <c r="T13" s="50"/>
      <c r="U13" s="50"/>
      <c r="V13" s="50"/>
    </row>
    <row r="14" ht="11.25" customHeight="1">
      <c r="A14" s="410"/>
      <c r="B14" s="65"/>
      <c r="C14" s="65"/>
      <c r="D14" s="473"/>
      <c r="E14" s="65"/>
      <c r="F14" s="65"/>
      <c r="G14" s="65"/>
      <c r="H14" s="65"/>
      <c r="I14" s="65"/>
      <c r="J14" s="65"/>
      <c r="K14" s="65"/>
      <c r="L14" s="65"/>
      <c r="M14" s="65"/>
      <c r="N14" s="65"/>
      <c r="O14" s="65"/>
      <c r="P14" s="65"/>
      <c r="Q14" s="65"/>
      <c r="R14" s="65"/>
      <c r="S14" s="65"/>
      <c r="T14" s="65"/>
      <c r="U14" s="65"/>
      <c r="V14" s="65"/>
    </row>
    <row r="15" ht="14.25" customHeight="1">
      <c r="D15" s="474"/>
      <c r="E15" s="475"/>
      <c r="F15" s="475"/>
      <c r="G15" s="4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 xml:space="preserve">&lt;1&gt;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ht="14.25" customHeight="1">
      <c r="G18" s="50"/>
    </row>
  </sheetData>
  <sheetProtection autoFilter="0" deleteColumns="0" deleteRows="0" formatCells="1" formatColumns="0" formatRows="0" insertColumns="1" insertHyperlinks="1" insertRows="0" pivotTables="1" selectLockedCells="0" selectUnlockedCells="0" sheet="0" sort="0"/>
  <mergeCells count="6">
    <mergeCell ref="E4:I4"/>
    <mergeCell ref="E5:I5"/>
    <mergeCell ref="E7:K7"/>
    <mergeCell ref="L7:L8"/>
    <mergeCell ref="L10:L13"/>
    <mergeCell ref="A11:A13"/>
  </mergeCells>
  <dataValidations count="1" disablePrompts="0">
    <dataValidation sqref="J12" type="none" allowBlank="1" errorStyle="stop" imeMode="noControl" operator="between" prompt="Изменение значения по двойному щелчоку левой кнопки мыши"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EA00BE-00E3-4E83-AD41-007200770022}"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K12</xm:sqref>
        </x14:dataValidation>
        <x14:dataValidation xr:uid="{003600A1-00FC-4567-B143-001100700022}"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G10:K10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min="16" max="16" style="60" width="3.7109375"/>
    <col customWidth="1" min="17" max="18" style="477" width="3.7109375"/>
    <col customWidth="1" min="19" max="19" style="322" width="12.7109375"/>
    <col customWidth="1" min="20" max="20" style="50" width="35.710937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7109375"/>
    <col customWidth="1" min="34" max="34" style="50" width="11.7109375"/>
    <col customWidth="1" min="35" max="35" style="50" width="3.7109375"/>
    <col customWidth="1" min="36" max="36" style="50" width="11.7109375"/>
    <col customWidth="1" hidden="1" min="37" max="37" style="50" width="8.57421875"/>
    <col customWidth="1" min="38" max="38" style="50" width="4.7109375"/>
    <col customWidth="1" min="39" max="39" style="50" width="115.7109375"/>
    <col min="40" max="41" style="57" width="10.57421875"/>
    <col customWidth="1" min="42" max="42" style="57" width="11.140625"/>
    <col min="43" max="44" style="57" width="10.57421875"/>
  </cols>
  <sheetData>
    <row r="1" ht="14.25" hidden="1" customHeight="1">
      <c r="Y1" s="50"/>
      <c r="Z1" s="50"/>
      <c r="AG1" s="50"/>
      <c r="AH1" s="50"/>
    </row>
    <row r="2" ht="21"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7"/>
      <c r="AC2" s="488"/>
      <c r="AD2" s="486" t="e">
        <f>INDEX(PT_DIFFERENTIATION_NTAR,MATCH(A2,PT_DIFFERENTIATION_NTAR_ID,0))</f>
        <v>#VALUE!</v>
      </c>
      <c r="AE2" s="487"/>
      <c r="AF2" s="487"/>
      <c r="AG2" s="487"/>
      <c r="AH2" s="487"/>
      <c r="AI2" s="487"/>
      <c r="AJ2" s="487"/>
      <c r="AK2" s="487"/>
      <c r="AL2" s="488"/>
      <c r="AM2" s="489" t="s">
        <v>386</v>
      </c>
      <c r="AO2" s="128"/>
      <c r="AP2" s="128" t="str">
        <f t="shared" ref="AP2:AP9" si="3">IF(T2="","",T2)</f>
        <v xml:space="preserve">Наименование тарифа</v>
      </c>
      <c r="AQ2" s="128"/>
      <c r="AR2" s="128"/>
    </row>
    <row r="3" ht="21"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7"/>
      <c r="AC3" s="488"/>
      <c r="AD3" s="486" t="e">
        <f>INDEX(PT_DIFFERENTIATION_TER,MATCH(B3,PT_DIFFERENTIATION_TER_ID,0))</f>
        <v>#VALUE!</v>
      </c>
      <c r="AE3" s="487"/>
      <c r="AF3" s="487"/>
      <c r="AG3" s="487"/>
      <c r="AH3" s="487"/>
      <c r="AI3" s="487"/>
      <c r="AJ3" s="487"/>
      <c r="AK3" s="487"/>
      <c r="AL3" s="488"/>
      <c r="AM3" s="489" t="s">
        <v>388</v>
      </c>
      <c r="AO3" s="128"/>
      <c r="AP3" s="128" t="str">
        <f t="shared" si="3"/>
        <v xml:space="preserve">Территория действия тарифа</v>
      </c>
      <c r="AQ3" s="128"/>
      <c r="AR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389</v>
      </c>
      <c r="U4" s="485"/>
      <c r="V4" s="486"/>
      <c r="W4" s="487"/>
      <c r="X4" s="487"/>
      <c r="Y4" s="487"/>
      <c r="Z4" s="487"/>
      <c r="AA4" s="487"/>
      <c r="AB4" s="487"/>
      <c r="AC4" s="488"/>
      <c r="AD4" s="486" t="e">
        <f>INDEX(PT_DIFFERENTIATION_CS,MATCH(C4,PT_DIFFERENTIATION_CS_ID,0))</f>
        <v>#VALUE!</v>
      </c>
      <c r="AE4" s="487"/>
      <c r="AF4" s="487"/>
      <c r="AG4" s="487"/>
      <c r="AH4" s="487"/>
      <c r="AI4" s="487"/>
      <c r="AJ4" s="487"/>
      <c r="AK4" s="487"/>
      <c r="AL4" s="488"/>
      <c r="AM4" s="489" t="s">
        <v>390</v>
      </c>
      <c r="AO4" s="128"/>
      <c r="AP4" s="128" t="str">
        <f t="shared" si="3"/>
        <v xml:space="preserve">Наименование системы теплоснабжения</v>
      </c>
      <c r="AQ4" s="128"/>
      <c r="AR4" s="128"/>
    </row>
    <row r="5" ht="21" hidden="1" customHeight="1">
      <c r="A5" s="478"/>
      <c r="B5" s="478"/>
      <c r="C5" s="478"/>
      <c r="D5" s="478"/>
      <c r="E5" s="490"/>
      <c r="F5" s="490"/>
      <c r="G5" s="490"/>
      <c r="H5" s="479">
        <v>1</v>
      </c>
      <c r="I5" s="478"/>
      <c r="J5" s="478"/>
      <c r="K5" s="478"/>
      <c r="L5" s="480"/>
      <c r="M5" s="481"/>
      <c r="N5" s="481"/>
      <c r="O5" s="481"/>
      <c r="P5" s="494"/>
      <c r="Q5" s="491"/>
      <c r="R5" s="492"/>
      <c r="S5" s="483" t="e">
        <f>INDEX(PT_DIFFERENTIATION_NUM_IST_TE,MATCH(D5,PT_DIFFERENTIATION_IST_TE_ID,0))</f>
        <v>#VALUE!</v>
      </c>
      <c r="T5" s="496" t="s">
        <v>391</v>
      </c>
      <c r="U5" s="485"/>
      <c r="V5" s="486"/>
      <c r="W5" s="487"/>
      <c r="X5" s="487"/>
      <c r="Y5" s="487"/>
      <c r="Z5" s="487"/>
      <c r="AA5" s="487"/>
      <c r="AB5" s="487"/>
      <c r="AC5" s="488"/>
      <c r="AD5" s="486" t="e">
        <f>INDEX(PT_DIFFERENTIATION_IST_TE,MATCH(D5,PT_DIFFERENTIATION_IST_TE_ID,0))</f>
        <v>#VALUE!</v>
      </c>
      <c r="AE5" s="487"/>
      <c r="AF5" s="487"/>
      <c r="AG5" s="487"/>
      <c r="AH5" s="487"/>
      <c r="AI5" s="487"/>
      <c r="AJ5" s="487"/>
      <c r="AK5" s="487"/>
      <c r="AL5" s="488"/>
      <c r="AM5" s="489" t="s">
        <v>392</v>
      </c>
      <c r="AO5" s="128"/>
      <c r="AP5" s="128" t="str">
        <f t="shared" si="3"/>
        <v xml:space="preserve">Источник тепловой энергии</v>
      </c>
      <c r="AQ5" s="128"/>
      <c r="AR5" s="128"/>
    </row>
    <row r="6" ht="47.25" hidden="1" customHeight="1">
      <c r="A6" s="478"/>
      <c r="B6" s="478"/>
      <c r="C6" s="478"/>
      <c r="D6" s="478"/>
      <c r="E6" s="490"/>
      <c r="F6" s="490"/>
      <c r="G6" s="490"/>
      <c r="H6" s="490"/>
      <c r="I6" s="167" t="e">
        <f>S5&amp;".1"</f>
        <v>#VALUE!</v>
      </c>
      <c r="J6" s="478"/>
      <c r="K6" s="478"/>
      <c r="L6" s="480" t="s">
        <v>393</v>
      </c>
      <c r="M6" s="53"/>
      <c r="P6" s="131">
        <v>1</v>
      </c>
      <c r="Q6" s="131"/>
      <c r="R6" s="497"/>
      <c r="S6" s="483" t="e">
        <f>$I6</f>
        <v>#VALUE!</v>
      </c>
      <c r="T6" s="498" t="s">
        <v>394</v>
      </c>
      <c r="U6" s="485"/>
      <c r="V6" s="430"/>
      <c r="W6" s="499"/>
      <c r="X6" s="499"/>
      <c r="Y6" s="499"/>
      <c r="Z6" s="499"/>
      <c r="AA6" s="499"/>
      <c r="AB6" s="499"/>
      <c r="AC6" s="500"/>
      <c r="AD6" s="430"/>
      <c r="AE6" s="499"/>
      <c r="AF6" s="499"/>
      <c r="AG6" s="499"/>
      <c r="AH6" s="499"/>
      <c r="AI6" s="499"/>
      <c r="AJ6" s="499"/>
      <c r="AK6" s="499"/>
      <c r="AL6" s="500"/>
      <c r="AM6" s="489" t="s">
        <v>395</v>
      </c>
      <c r="AO6" s="128"/>
      <c r="AP6" s="128" t="str">
        <f t="shared" si="3"/>
        <v xml:space="preserve">Схема подключения теплопотребляющей установки к коллектору источника тепловой энергии</v>
      </c>
      <c r="AQ6" s="128"/>
      <c r="AR6" s="128"/>
    </row>
    <row r="7" ht="21" hidden="1" customHeight="1">
      <c r="A7" s="478"/>
      <c r="B7" s="478"/>
      <c r="C7" s="478"/>
      <c r="D7" s="478"/>
      <c r="E7" s="490"/>
      <c r="F7" s="490"/>
      <c r="G7" s="490"/>
      <c r="H7" s="490"/>
      <c r="I7" s="501"/>
      <c r="J7" s="167" t="e">
        <f>I6&amp;".1"</f>
        <v>#VALUE!</v>
      </c>
      <c r="K7" s="478"/>
      <c r="L7" s="480" t="s">
        <v>396</v>
      </c>
      <c r="M7" s="53"/>
      <c r="N7" s="53"/>
      <c r="P7" s="131"/>
      <c r="Q7" s="131">
        <v>1</v>
      </c>
      <c r="R7" s="502"/>
      <c r="S7" s="483" t="e">
        <f>$J7</f>
        <v>#VALUE!</v>
      </c>
      <c r="T7" s="503" t="s">
        <v>397</v>
      </c>
      <c r="U7" s="485"/>
      <c r="V7" s="430"/>
      <c r="W7" s="499"/>
      <c r="X7" s="499"/>
      <c r="Y7" s="499"/>
      <c r="Z7" s="499"/>
      <c r="AA7" s="499"/>
      <c r="AB7" s="499"/>
      <c r="AC7" s="500"/>
      <c r="AD7" s="430"/>
      <c r="AE7" s="499"/>
      <c r="AF7" s="499"/>
      <c r="AG7" s="499"/>
      <c r="AH7" s="499"/>
      <c r="AI7" s="499"/>
      <c r="AJ7" s="499"/>
      <c r="AK7" s="499"/>
      <c r="AL7" s="500"/>
      <c r="AM7" s="489" t="s">
        <v>398</v>
      </c>
      <c r="AO7" s="128"/>
      <c r="AP7" s="128" t="str">
        <f t="shared" si="3"/>
        <v xml:space="preserve">Группа потребителей</v>
      </c>
      <c r="AQ7" s="128"/>
      <c r="AR7" s="128"/>
    </row>
    <row r="8" ht="21" hidden="1" customHeight="1">
      <c r="A8" s="478"/>
      <c r="B8" s="478"/>
      <c r="C8" s="478"/>
      <c r="D8" s="478"/>
      <c r="E8" s="490"/>
      <c r="F8" s="490"/>
      <c r="G8" s="490"/>
      <c r="H8" s="490"/>
      <c r="I8" s="501"/>
      <c r="J8" s="501"/>
      <c r="K8" s="167" t="e">
        <f>J7&amp;".1"</f>
        <v>#VALUE!</v>
      </c>
      <c r="L8" s="480" t="s">
        <v>399</v>
      </c>
      <c r="M8" s="53"/>
      <c r="N8" s="53"/>
      <c r="O8" s="53"/>
      <c r="P8" s="131"/>
      <c r="Q8" s="131"/>
      <c r="R8" s="502">
        <v>1</v>
      </c>
      <c r="S8" s="483" t="e">
        <f>$K8</f>
        <v>#VALUE!</v>
      </c>
      <c r="T8" s="504"/>
      <c r="U8" s="485"/>
      <c r="V8" s="505"/>
      <c r="W8" s="506"/>
      <c r="X8" s="505"/>
      <c r="Y8" s="507"/>
      <c r="Z8" s="508"/>
      <c r="AA8" s="225" t="s">
        <v>56</v>
      </c>
      <c r="AB8" s="508"/>
      <c r="AC8" s="225" t="s">
        <v>56</v>
      </c>
      <c r="AD8" s="505"/>
      <c r="AE8" s="506"/>
      <c r="AF8" s="505"/>
      <c r="AG8" s="507"/>
      <c r="AH8" s="508"/>
      <c r="AI8" s="225" t="s">
        <v>56</v>
      </c>
      <c r="AJ8" s="508"/>
      <c r="AK8" s="225" t="s">
        <v>56</v>
      </c>
      <c r="AL8" s="506"/>
      <c r="AM8" s="509" t="s">
        <v>400</v>
      </c>
      <c r="AN8" s="57" t="e">
        <f>STRCHECKDATE(V9:AL9)</f>
        <v>#NAME?</v>
      </c>
      <c r="AO8" s="128"/>
      <c r="AP8" s="128" t="str">
        <f t="shared" si="3"/>
        <v/>
      </c>
      <c r="AQ8" s="128"/>
      <c r="AR8" s="128"/>
    </row>
    <row r="9" ht="0.75" hidden="1" customHeight="1">
      <c r="A9" s="478"/>
      <c r="B9" s="478"/>
      <c r="C9" s="478"/>
      <c r="D9" s="478"/>
      <c r="E9" s="490"/>
      <c r="F9" s="490"/>
      <c r="G9" s="490"/>
      <c r="H9" s="490"/>
      <c r="I9" s="501"/>
      <c r="J9" s="501"/>
      <c r="K9" s="167"/>
      <c r="L9" s="480"/>
      <c r="M9" s="53"/>
      <c r="N9" s="53"/>
      <c r="O9" s="53"/>
      <c r="P9" s="131"/>
      <c r="Q9" s="131"/>
      <c r="R9" s="502"/>
      <c r="S9" s="457"/>
      <c r="T9" s="485"/>
      <c r="U9" s="485"/>
      <c r="V9" s="506"/>
      <c r="W9" s="506"/>
      <c r="X9" s="506"/>
      <c r="Y9" s="510" t="str">
        <f>Z8&amp;"-"&amp;AB8</f>
        <v>-</v>
      </c>
      <c r="Z9" s="511"/>
      <c r="AA9" s="225"/>
      <c r="AB9" s="511"/>
      <c r="AC9" s="225"/>
      <c r="AD9" s="506"/>
      <c r="AE9" s="506"/>
      <c r="AF9" s="506"/>
      <c r="AG9" s="510" t="str">
        <f>AH8&amp;"-"&amp;AJ8</f>
        <v>-</v>
      </c>
      <c r="AH9" s="511"/>
      <c r="AI9" s="225"/>
      <c r="AJ9" s="511"/>
      <c r="AK9" s="225"/>
      <c r="AL9" s="506"/>
      <c r="AM9" s="512"/>
      <c r="AO9" s="128"/>
      <c r="AP9" s="128" t="str">
        <f t="shared" si="3"/>
        <v/>
      </c>
      <c r="AQ9" s="128"/>
      <c r="AR9" s="128"/>
    </row>
    <row r="10" ht="15" hidden="1" customHeight="1">
      <c r="A10" s="478"/>
      <c r="B10" s="478"/>
      <c r="C10" s="478"/>
      <c r="D10" s="478"/>
      <c r="E10" s="490"/>
      <c r="F10" s="490"/>
      <c r="G10" s="490"/>
      <c r="H10" s="490"/>
      <c r="I10" s="501"/>
      <c r="J10" s="167"/>
      <c r="K10" s="478"/>
      <c r="L10" s="480"/>
      <c r="M10" s="53"/>
      <c r="N10" s="53"/>
      <c r="P10" s="131"/>
      <c r="Q10" s="131"/>
      <c r="R10" s="497"/>
      <c r="S10" s="513"/>
      <c r="T10" s="514" t="s">
        <v>401</v>
      </c>
      <c r="U10" s="215"/>
      <c r="V10" s="215"/>
      <c r="W10" s="215"/>
      <c r="X10" s="215"/>
      <c r="Y10" s="215"/>
      <c r="Z10" s="215"/>
      <c r="AA10" s="215"/>
      <c r="AB10" s="215"/>
      <c r="AC10" s="215"/>
      <c r="AD10" s="215"/>
      <c r="AE10" s="215"/>
      <c r="AF10" s="215"/>
      <c r="AG10" s="215"/>
      <c r="AH10" s="215"/>
      <c r="AI10" s="215"/>
      <c r="AJ10" s="215"/>
      <c r="AK10" s="215"/>
      <c r="AL10" s="515"/>
      <c r="AM10" s="516"/>
      <c r="AO10" s="128"/>
      <c r="AP10" s="128" t="str">
        <f t="shared" ref="AP10:AP57" si="4">IF(T10="","",T10)</f>
        <v xml:space="preserve">Добавить вид теплоносителя (параметры теплоносителя)</v>
      </c>
      <c r="AQ10" s="128"/>
      <c r="AR10" s="128"/>
    </row>
    <row r="11" ht="15" hidden="1" customHeight="1">
      <c r="A11" s="478"/>
      <c r="B11" s="478"/>
      <c r="C11" s="478"/>
      <c r="D11" s="478"/>
      <c r="E11" s="490"/>
      <c r="F11" s="490"/>
      <c r="G11" s="490"/>
      <c r="H11" s="490"/>
      <c r="I11" s="167"/>
      <c r="J11" s="478"/>
      <c r="K11" s="478"/>
      <c r="L11" s="480"/>
      <c r="M11" s="53"/>
      <c r="P11" s="131"/>
      <c r="Q11" s="131"/>
      <c r="R11" s="497"/>
      <c r="S11" s="513"/>
      <c r="T11" s="517" t="s">
        <v>402</v>
      </c>
      <c r="U11" s="215"/>
      <c r="V11" s="215"/>
      <c r="W11" s="215"/>
      <c r="X11" s="215"/>
      <c r="Y11" s="215"/>
      <c r="Z11" s="215"/>
      <c r="AA11" s="215"/>
      <c r="AB11" s="215"/>
      <c r="AC11" s="518"/>
      <c r="AD11" s="215"/>
      <c r="AE11" s="215"/>
      <c r="AF11" s="215"/>
      <c r="AG11" s="215"/>
      <c r="AH11" s="215"/>
      <c r="AI11" s="215"/>
      <c r="AJ11" s="215"/>
      <c r="AK11" s="518"/>
      <c r="AL11" s="215"/>
      <c r="AM11" s="519"/>
      <c r="AO11" s="128"/>
      <c r="AP11" s="128" t="str">
        <f t="shared" si="4"/>
        <v xml:space="preserve">Добавить группу потребителей</v>
      </c>
      <c r="AQ11" s="128"/>
      <c r="AR11" s="128"/>
    </row>
    <row r="12" ht="14.25" hidden="1" customHeight="1">
      <c r="A12" s="478"/>
      <c r="B12" s="478"/>
      <c r="C12" s="478"/>
      <c r="D12" s="478"/>
      <c r="E12" s="490"/>
      <c r="F12" s="490"/>
      <c r="G12" s="490"/>
      <c r="H12" s="479"/>
      <c r="I12" s="478"/>
      <c r="J12" s="478"/>
      <c r="K12" s="478"/>
      <c r="L12" s="480"/>
      <c r="M12" s="481"/>
      <c r="N12" s="481"/>
      <c r="O12" s="53"/>
      <c r="P12" s="142"/>
      <c r="Q12" s="520"/>
      <c r="R12" s="482"/>
      <c r="S12" s="513"/>
      <c r="T12" s="521" t="s">
        <v>403</v>
      </c>
      <c r="U12" s="215"/>
      <c r="V12" s="215"/>
      <c r="W12" s="215"/>
      <c r="X12" s="215"/>
      <c r="Y12" s="215"/>
      <c r="Z12" s="215"/>
      <c r="AA12" s="215"/>
      <c r="AB12" s="215"/>
      <c r="AC12" s="518"/>
      <c r="AD12" s="215"/>
      <c r="AE12" s="215"/>
      <c r="AF12" s="215"/>
      <c r="AG12" s="215"/>
      <c r="AH12" s="215"/>
      <c r="AI12" s="215"/>
      <c r="AJ12" s="215"/>
      <c r="AK12" s="518"/>
      <c r="AL12" s="215"/>
      <c r="AM12" s="519"/>
      <c r="AO12" s="128"/>
      <c r="AP12" s="128" t="str">
        <f t="shared" si="4"/>
        <v xml:space="preserve">Добавить схему подключения</v>
      </c>
      <c r="AQ12" s="128"/>
      <c r="AR12" s="128"/>
    </row>
    <row r="13" s="57" customFormat="1" ht="0.75" hidden="1" customHeight="1">
      <c r="A13" s="132"/>
      <c r="B13" s="132"/>
      <c r="C13" s="132"/>
      <c r="D13" s="132"/>
      <c r="E13" s="490"/>
      <c r="F13" s="490"/>
      <c r="G13" s="479"/>
      <c r="H13" s="132"/>
      <c r="I13" s="132"/>
      <c r="J13" s="132"/>
      <c r="K13" s="132"/>
      <c r="L13" s="213"/>
      <c r="M13" s="463"/>
      <c r="N13" s="463"/>
      <c r="P13" s="166"/>
      <c r="Q13" s="522"/>
      <c r="R13" s="166"/>
      <c r="S13" s="523"/>
      <c r="T13" s="524" t="s">
        <v>404</v>
      </c>
      <c r="U13" s="525"/>
      <c r="V13" s="525"/>
      <c r="W13" s="525"/>
      <c r="X13" s="525"/>
      <c r="Y13" s="525"/>
      <c r="Z13" s="525"/>
      <c r="AA13" s="525"/>
      <c r="AB13" s="525"/>
      <c r="AC13" s="525"/>
      <c r="AD13" s="525"/>
      <c r="AE13" s="525"/>
      <c r="AF13" s="525"/>
      <c r="AG13" s="525"/>
      <c r="AH13" s="525"/>
      <c r="AI13" s="525"/>
      <c r="AJ13" s="525"/>
      <c r="AK13" s="525"/>
      <c r="AL13" s="525"/>
      <c r="AM13" s="525"/>
      <c r="AO13" s="128"/>
      <c r="AP13" s="128" t="str">
        <f t="shared" si="4"/>
        <v xml:space="preserve">Добавить источник для дифференциации</v>
      </c>
      <c r="AQ13" s="128"/>
      <c r="AR13" s="128"/>
    </row>
    <row r="14" s="57" customFormat="1" ht="0.75" hidden="1" customHeight="1">
      <c r="A14" s="132"/>
      <c r="B14" s="132"/>
      <c r="C14" s="132"/>
      <c r="D14" s="132"/>
      <c r="E14" s="490"/>
      <c r="F14" s="479"/>
      <c r="G14" s="132"/>
      <c r="H14" s="132"/>
      <c r="I14" s="132"/>
      <c r="J14" s="132"/>
      <c r="K14" s="132"/>
      <c r="L14" s="213"/>
      <c r="M14" s="526"/>
      <c r="N14" s="526"/>
      <c r="P14" s="166"/>
      <c r="Q14" s="522"/>
      <c r="R14" s="166"/>
      <c r="S14" s="527"/>
      <c r="T14" s="528" t="s">
        <v>405</v>
      </c>
      <c r="U14" s="529"/>
      <c r="V14" s="529"/>
      <c r="W14" s="529"/>
      <c r="X14" s="529"/>
      <c r="Y14" s="529"/>
      <c r="Z14" s="529"/>
      <c r="AA14" s="529"/>
      <c r="AB14" s="529"/>
      <c r="AC14" s="529"/>
      <c r="AD14" s="529"/>
      <c r="AE14" s="529"/>
      <c r="AF14" s="529"/>
      <c r="AG14" s="529"/>
      <c r="AH14" s="529"/>
      <c r="AI14" s="529"/>
      <c r="AJ14" s="529"/>
      <c r="AK14" s="529"/>
      <c r="AL14" s="529"/>
      <c r="AM14" s="529"/>
      <c r="AO14" s="128"/>
      <c r="AP14" s="128" t="str">
        <f t="shared" si="4"/>
        <v xml:space="preserve">Добавить централизованную систему для дифференциации</v>
      </c>
      <c r="AQ14" s="128"/>
      <c r="AR14" s="128"/>
    </row>
    <row r="15" s="57" customFormat="1" ht="0.75" hidden="1" customHeight="1">
      <c r="A15" s="132"/>
      <c r="B15" s="132"/>
      <c r="C15" s="132"/>
      <c r="D15" s="132"/>
      <c r="E15" s="479"/>
      <c r="F15" s="132"/>
      <c r="G15" s="132"/>
      <c r="H15" s="132"/>
      <c r="I15" s="132"/>
      <c r="J15" s="132"/>
      <c r="K15" s="132"/>
      <c r="L15" s="213"/>
      <c r="M15" s="526"/>
      <c r="N15" s="526"/>
      <c r="P15" s="166"/>
      <c r="Q15" s="522"/>
      <c r="R15" s="166"/>
      <c r="S15" s="527"/>
      <c r="T15" s="530" t="s">
        <v>406</v>
      </c>
      <c r="U15" s="529"/>
      <c r="V15" s="529"/>
      <c r="W15" s="529"/>
      <c r="X15" s="529"/>
      <c r="Y15" s="529"/>
      <c r="Z15" s="529"/>
      <c r="AA15" s="529"/>
      <c r="AB15" s="529"/>
      <c r="AC15" s="529"/>
      <c r="AD15" s="529"/>
      <c r="AE15" s="529"/>
      <c r="AF15" s="529"/>
      <c r="AG15" s="529"/>
      <c r="AH15" s="529"/>
      <c r="AI15" s="529"/>
      <c r="AJ15" s="529"/>
      <c r="AK15" s="529"/>
      <c r="AL15" s="529"/>
      <c r="AM15" s="529"/>
      <c r="AO15" s="128"/>
      <c r="AP15" s="128" t="str">
        <f t="shared" si="4"/>
        <v xml:space="preserve">Добавить территорию для дифференциации</v>
      </c>
      <c r="AQ15" s="128"/>
      <c r="AR15" s="128"/>
    </row>
    <row r="16" ht="14.25" hidden="1" customHeight="1">
      <c r="AC16" s="50"/>
      <c r="AK16" s="50"/>
    </row>
    <row r="17" ht="14.25" hidden="1" customHeight="1">
      <c r="P17" s="60"/>
      <c r="AD17" s="531"/>
      <c r="AE17" s="531"/>
      <c r="AF17" s="531"/>
      <c r="AG17" s="532"/>
      <c r="AH17" s="533"/>
      <c r="AI17" s="534" t="s">
        <v>56</v>
      </c>
      <c r="AJ17" s="533"/>
      <c r="AK17" s="534" t="s">
        <v>56</v>
      </c>
    </row>
    <row r="18" ht="14.25" hidden="1" customHeight="1">
      <c r="P18" s="60"/>
      <c r="AD18" s="531"/>
      <c r="AE18" s="531"/>
      <c r="AF18" s="531"/>
      <c r="AG18" s="510" t="str">
        <f>AH17&amp;"-"&amp;AJ17</f>
        <v>-</v>
      </c>
      <c r="AH18" s="534"/>
      <c r="AI18" s="534"/>
      <c r="AJ18" s="534"/>
      <c r="AK18" s="534"/>
    </row>
    <row r="19" ht="14.25" hidden="1" customHeight="1">
      <c r="P19" s="60"/>
      <c r="AK19" s="50"/>
    </row>
    <row r="20" s="53" customFormat="1" ht="22.5" hidden="1" customHeight="1">
      <c r="L20" s="113"/>
      <c r="M20" s="61"/>
      <c r="N20" s="61"/>
      <c r="O20" s="535" t="s">
        <v>407</v>
      </c>
      <c r="P20" s="61"/>
      <c r="Q20" s="536"/>
      <c r="R20" s="536"/>
      <c r="S20" s="481"/>
      <c r="Z20" s="535"/>
      <c r="AB20" s="535"/>
      <c r="AC20" s="53"/>
      <c r="AH20" s="535"/>
      <c r="AJ20" s="535"/>
      <c r="AK20" s="53"/>
      <c r="AN20" s="57"/>
      <c r="AO20" s="57"/>
      <c r="AP20" s="57"/>
      <c r="AQ20" s="57"/>
      <c r="AR20" s="57"/>
    </row>
    <row r="21" s="53" customFormat="1" ht="14.25" hidden="1" customHeight="1">
      <c r="L21" s="113"/>
      <c r="M21" s="61"/>
      <c r="N21" s="61"/>
      <c r="O21" s="61"/>
      <c r="P21" s="61"/>
      <c r="Q21" s="536"/>
      <c r="R21" s="536"/>
      <c r="S21" s="481"/>
      <c r="AC21" s="53"/>
      <c r="AK21" s="53"/>
      <c r="AN21" s="57"/>
      <c r="AO21" s="57"/>
      <c r="AP21" s="57"/>
      <c r="AQ21" s="57"/>
      <c r="AR21" s="57"/>
    </row>
    <row r="22" s="53" customFormat="1" ht="14.25" hidden="1" customHeight="1">
      <c r="L22" s="113"/>
      <c r="M22" s="61"/>
      <c r="N22" s="61"/>
      <c r="O22" s="480" t="s">
        <v>408</v>
      </c>
      <c r="P22" s="61"/>
      <c r="Q22" s="536"/>
      <c r="R22" s="536"/>
      <c r="S22" s="481"/>
      <c r="T22" s="53" t="s">
        <v>409</v>
      </c>
      <c r="AA22" s="150" t="s">
        <v>410</v>
      </c>
      <c r="AC22" s="150" t="s">
        <v>411</v>
      </c>
      <c r="AD22" s="53" t="s">
        <v>409</v>
      </c>
      <c r="AI22" s="150" t="s">
        <v>412</v>
      </c>
      <c r="AK22" s="150" t="s">
        <v>411</v>
      </c>
      <c r="AN22" s="57"/>
      <c r="AO22" s="57"/>
      <c r="AP22" s="57"/>
      <c r="AQ22" s="57"/>
      <c r="AR22" s="57"/>
    </row>
    <row r="23" ht="14.25" hidden="1" customHeight="1">
      <c r="O23" s="480"/>
      <c r="P23" s="60"/>
    </row>
    <row r="24" ht="14.25" hidden="1" customHeight="1">
      <c r="O24" s="480"/>
      <c r="P24" s="60"/>
    </row>
    <row r="25" ht="14.25" customHeight="1">
      <c r="Q25" s="537"/>
      <c r="R25" s="537"/>
      <c r="S25" s="538"/>
      <c r="T25" s="89"/>
      <c r="U25" s="89"/>
      <c r="V25" s="50"/>
      <c r="W25" s="50"/>
      <c r="X25" s="50"/>
      <c r="Y25" s="50"/>
      <c r="Z25" s="50"/>
      <c r="AA25" s="50"/>
      <c r="AB25" s="50"/>
      <c r="AC25" s="50"/>
      <c r="AD25" s="50"/>
      <c r="AE25" s="50"/>
      <c r="AF25" s="50"/>
      <c r="AG25" s="50"/>
      <c r="AH25" s="50"/>
      <c r="AI25" s="50"/>
      <c r="AJ25" s="50"/>
      <c r="AK25" s="50"/>
    </row>
    <row r="26" ht="14.25" customHeight="1">
      <c r="Q26" s="537"/>
      <c r="R26" s="537"/>
      <c r="S26" s="45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51"/>
      <c r="U26" s="451"/>
      <c r="V26" s="451"/>
      <c r="W26" s="451"/>
      <c r="X26" s="451"/>
      <c r="Y26" s="451"/>
      <c r="Z26" s="451"/>
      <c r="AA26" s="451"/>
      <c r="AB26" s="451"/>
      <c r="AC26" s="451"/>
      <c r="AD26" s="451"/>
      <c r="AE26" s="451"/>
      <c r="AF26" s="451"/>
      <c r="AG26" s="451"/>
      <c r="AH26" s="451"/>
      <c r="AI26" s="451"/>
      <c r="AJ26" s="451"/>
      <c r="AK26" s="241"/>
    </row>
    <row r="27" ht="14.25" customHeight="1">
      <c r="Q27" s="537"/>
      <c r="R27" s="537"/>
      <c r="S27" s="302" t="str">
        <f>IF(org=0,"Не определено",org)</f>
        <v xml:space="preserve">филиал ПАО "ОГК-2" - Адлерская ТЭС</v>
      </c>
      <c r="T27" s="302"/>
      <c r="U27" s="302"/>
      <c r="V27" s="302"/>
      <c r="W27" s="302"/>
      <c r="X27" s="302"/>
      <c r="Y27" s="302"/>
      <c r="Z27" s="302"/>
      <c r="AA27" s="302"/>
      <c r="AB27" s="302"/>
      <c r="AC27" s="302"/>
      <c r="AD27" s="302"/>
      <c r="AE27" s="302"/>
      <c r="AF27" s="302"/>
      <c r="AG27" s="302"/>
      <c r="AH27" s="302"/>
      <c r="AI27" s="302"/>
      <c r="AJ27" s="302"/>
      <c r="AK27" s="241"/>
    </row>
    <row r="28" ht="14.25" hidden="1" customHeight="1">
      <c r="Q28" s="537"/>
      <c r="R28" s="537"/>
      <c r="S28" s="538"/>
      <c r="T28" s="89"/>
      <c r="U28" s="89"/>
      <c r="V28" s="539"/>
      <c r="W28" s="539"/>
      <c r="X28" s="539"/>
      <c r="Y28" s="539"/>
      <c r="Z28" s="539"/>
      <c r="AA28" s="539"/>
      <c r="AB28" s="539"/>
      <c r="AC28" s="539"/>
      <c r="AD28" s="539"/>
      <c r="AE28" s="539"/>
      <c r="AF28" s="539"/>
      <c r="AG28" s="539"/>
      <c r="AH28" s="539"/>
      <c r="AI28" s="539"/>
      <c r="AJ28" s="539"/>
      <c r="AK28" s="539"/>
      <c r="AL28" s="50"/>
    </row>
    <row r="29" s="185" customFormat="1" ht="25.5" hidden="1" customHeight="1">
      <c r="A29" s="150"/>
      <c r="B29" s="150"/>
      <c r="C29" s="150"/>
      <c r="D29" s="150"/>
      <c r="E29" s="150"/>
      <c r="F29" s="150"/>
      <c r="G29" s="150"/>
      <c r="H29" s="150"/>
      <c r="I29" s="150"/>
      <c r="J29" s="150"/>
      <c r="K29" s="150"/>
      <c r="L29" s="480"/>
      <c r="M29" s="150"/>
      <c r="N29" s="150"/>
      <c r="O29" s="150"/>
      <c r="S29" s="540" t="s">
        <v>38</v>
      </c>
      <c r="T29" s="540"/>
      <c r="U29" s="541"/>
      <c r="V29" s="542" t="str">
        <f>IF(TITLE_NAME_OR_PR_CHANGE="",IF(TITLE_NAME_OR_PR="","",TITLE_NAME_OR_PR),TITLE_NAME_OR_PR_CHANGE)</f>
        <v/>
      </c>
      <c r="W29" s="542"/>
      <c r="X29" s="542"/>
      <c r="Y29" s="542"/>
      <c r="Z29" s="542"/>
      <c r="AA29" s="542"/>
      <c r="AB29" s="542"/>
      <c r="AC29" s="50"/>
      <c r="AD29" s="542" t="str">
        <f>IF(TITLE_NAME_OR_PR_CHANGE="",IF(TITLE_NAME_OR_PR="","",TITLE_NAME_OR_PR),TITLE_NAME_OR_PR_CHANGE)</f>
        <v/>
      </c>
      <c r="AE29" s="542"/>
      <c r="AF29" s="542"/>
      <c r="AG29" s="542"/>
      <c r="AH29" s="542"/>
      <c r="AI29" s="542"/>
      <c r="AJ29" s="542"/>
      <c r="AK29" s="50"/>
      <c r="AL29" s="50"/>
      <c r="AM29" s="543"/>
      <c r="AN29" s="128"/>
      <c r="AO29" s="128"/>
      <c r="AP29" s="128"/>
      <c r="AQ29" s="128"/>
      <c r="AR29" s="128"/>
    </row>
    <row r="30" s="185" customFormat="1" ht="18.75" hidden="1" customHeight="1">
      <c r="A30" s="150"/>
      <c r="B30" s="150"/>
      <c r="C30" s="150"/>
      <c r="D30" s="150"/>
      <c r="E30" s="150"/>
      <c r="F30" s="150"/>
      <c r="G30" s="150"/>
      <c r="H30" s="150"/>
      <c r="I30" s="150"/>
      <c r="J30" s="150"/>
      <c r="K30" s="150"/>
      <c r="L30" s="480"/>
      <c r="M30" s="150"/>
      <c r="N30" s="150"/>
      <c r="O30" s="150"/>
      <c r="S30" s="540" t="s">
        <v>413</v>
      </c>
      <c r="T30" s="540"/>
      <c r="U30" s="541"/>
      <c r="V30" s="544" t="str">
        <f>IF(TITLE_DATE_PR_CHANGE="",IF(TITLE_DATE_PR="","",TITLE_DATE_PR),TITLE_DATE_PR_CHANGE)</f>
        <v/>
      </c>
      <c r="W30" s="544"/>
      <c r="X30" s="544"/>
      <c r="Y30" s="544"/>
      <c r="Z30" s="544"/>
      <c r="AA30" s="544"/>
      <c r="AB30" s="544"/>
      <c r="AC30" s="50"/>
      <c r="AD30" s="544" t="str">
        <f>IF(TITLE_DATE_PR_CHANGE="",IF(TITLE_DATE_PR="","",TITLE_DATE_PR),TITLE_DATE_PR_CHANGE)</f>
        <v/>
      </c>
      <c r="AE30" s="544"/>
      <c r="AF30" s="544"/>
      <c r="AG30" s="544"/>
      <c r="AH30" s="544"/>
      <c r="AI30" s="544"/>
      <c r="AJ30" s="544"/>
      <c r="AK30" s="50"/>
      <c r="AL30" s="50"/>
      <c r="AM30" s="543"/>
      <c r="AN30" s="128"/>
      <c r="AO30" s="128"/>
      <c r="AP30" s="128"/>
      <c r="AQ30" s="128"/>
      <c r="AR30" s="128"/>
    </row>
    <row r="31" s="185" customFormat="1" ht="18.75" hidden="1" customHeight="1">
      <c r="A31" s="150"/>
      <c r="B31" s="150"/>
      <c r="C31" s="150"/>
      <c r="D31" s="150"/>
      <c r="E31" s="150"/>
      <c r="F31" s="150"/>
      <c r="G31" s="150"/>
      <c r="H31" s="150"/>
      <c r="I31" s="150"/>
      <c r="J31" s="150"/>
      <c r="K31" s="150"/>
      <c r="L31" s="480"/>
      <c r="M31" s="150"/>
      <c r="N31" s="150"/>
      <c r="O31" s="150"/>
      <c r="S31" s="540" t="s">
        <v>414</v>
      </c>
      <c r="T31" s="540"/>
      <c r="U31" s="541"/>
      <c r="V31" s="542" t="str">
        <f>IF(TITLE_NUMBER_PR_CHANGE="",IF(TITLE_NUMBER_PR="","",TITLE_NUMBER_PR),TITLE_NUMBER_PR_CHANGE)</f>
        <v/>
      </c>
      <c r="W31" s="542"/>
      <c r="X31" s="542"/>
      <c r="Y31" s="542"/>
      <c r="Z31" s="542"/>
      <c r="AA31" s="542"/>
      <c r="AB31" s="542"/>
      <c r="AC31" s="50"/>
      <c r="AD31" s="542" t="str">
        <f>IF(TITLE_NUMBER_PR_CHANGE="",IF(TITLE_NUMBER_PR="","",TITLE_NUMBER_PR),TITLE_NUMBER_PR_CHANGE)</f>
        <v/>
      </c>
      <c r="AE31" s="542"/>
      <c r="AF31" s="542"/>
      <c r="AG31" s="542"/>
      <c r="AH31" s="542"/>
      <c r="AI31" s="542"/>
      <c r="AJ31" s="542"/>
      <c r="AK31" s="50"/>
      <c r="AL31" s="50"/>
      <c r="AM31" s="543"/>
      <c r="AN31" s="128"/>
      <c r="AO31" s="128"/>
      <c r="AP31" s="128"/>
      <c r="AQ31" s="128"/>
      <c r="AR31" s="128"/>
    </row>
    <row r="32" s="185" customFormat="1" ht="18.75" hidden="1" customHeight="1">
      <c r="A32" s="150"/>
      <c r="B32" s="150"/>
      <c r="C32" s="150"/>
      <c r="D32" s="150"/>
      <c r="E32" s="150"/>
      <c r="F32" s="150"/>
      <c r="G32" s="150"/>
      <c r="H32" s="150"/>
      <c r="I32" s="150"/>
      <c r="J32" s="150"/>
      <c r="K32" s="150"/>
      <c r="L32" s="480"/>
      <c r="M32" s="150"/>
      <c r="N32" s="150"/>
      <c r="O32" s="150"/>
      <c r="S32" s="540" t="s">
        <v>39</v>
      </c>
      <c r="T32" s="540"/>
      <c r="U32" s="541"/>
      <c r="V32" s="542" t="str">
        <f>IF(TITLE_IST_PUB_CHANGE="",IF(TITLE_IST_PUB="","",TITLE_IST_PUB),TITLE_IST_PUB_CHANGE)</f>
        <v/>
      </c>
      <c r="W32" s="542"/>
      <c r="X32" s="542"/>
      <c r="Y32" s="542"/>
      <c r="Z32" s="542"/>
      <c r="AA32" s="542"/>
      <c r="AB32" s="542"/>
      <c r="AC32" s="50"/>
      <c r="AD32" s="542" t="str">
        <f>IF(TITLE_IST_PUB_CHANGE="",IF(TITLE_IST_PUB="","",TITLE_IST_PUB),TITLE_IST_PUB_CHANGE)</f>
        <v/>
      </c>
      <c r="AE32" s="542"/>
      <c r="AF32" s="542"/>
      <c r="AG32" s="542"/>
      <c r="AH32" s="542"/>
      <c r="AI32" s="542"/>
      <c r="AJ32" s="542"/>
      <c r="AK32" s="50"/>
      <c r="AL32" s="50"/>
      <c r="AM32" s="543"/>
      <c r="AN32" s="128"/>
      <c r="AO32" s="128"/>
      <c r="AP32" s="128"/>
      <c r="AQ32" s="128"/>
      <c r="AR32" s="128"/>
    </row>
    <row r="33" ht="14.25" hidden="1" customHeight="1">
      <c r="P33" s="60"/>
      <c r="Q33" s="537"/>
      <c r="R33" s="537"/>
      <c r="S33" s="538"/>
      <c r="T33" s="89"/>
      <c r="U33" s="89"/>
      <c r="V33" s="539"/>
      <c r="W33" s="539"/>
      <c r="X33" s="539"/>
      <c r="Y33" s="539"/>
      <c r="Z33" s="539"/>
      <c r="AA33" s="539"/>
      <c r="AB33" s="539"/>
      <c r="AC33" s="539"/>
      <c r="AD33" s="539"/>
      <c r="AE33" s="539"/>
      <c r="AF33" s="539"/>
      <c r="AG33" s="539"/>
      <c r="AH33" s="539"/>
      <c r="AI33" s="539"/>
      <c r="AJ33" s="539"/>
      <c r="AK33" s="539"/>
      <c r="AL33" s="50"/>
    </row>
    <row r="34" s="185" customFormat="1" ht="18.75" hidden="1" customHeight="1">
      <c r="A34" s="150"/>
      <c r="B34" s="150"/>
      <c r="C34" s="150"/>
      <c r="D34" s="150"/>
      <c r="E34" s="150"/>
      <c r="F34" s="150"/>
      <c r="G34" s="150"/>
      <c r="H34" s="150"/>
      <c r="I34" s="150"/>
      <c r="J34" s="150"/>
      <c r="K34" s="150"/>
      <c r="L34" s="480"/>
      <c r="M34" s="150"/>
      <c r="N34" s="150"/>
      <c r="O34" s="150"/>
      <c r="S34" s="540" t="s">
        <v>415</v>
      </c>
      <c r="T34" s="540"/>
      <c r="U34" s="541"/>
      <c r="V34" s="544" t="str">
        <f>IF(TITLE_DATE_PR_CHANGE="",IF(TITLE_DATE_PR="","",TITLE_DATE_PR),TITLE_DATE_PR_CHANGE)</f>
        <v/>
      </c>
      <c r="W34" s="544"/>
      <c r="X34" s="544"/>
      <c r="Y34" s="544"/>
      <c r="Z34" s="544"/>
      <c r="AA34" s="544"/>
      <c r="AB34" s="544"/>
      <c r="AC34" s="50"/>
      <c r="AD34" s="544" t="str">
        <f>IF(TITLE_DATE_PR_CHANGE="",IF(TITLE_DATE_PR="","",TITLE_DATE_PR),TITLE_DATE_PR_CHANGE)</f>
        <v/>
      </c>
      <c r="AE34" s="544"/>
      <c r="AF34" s="544"/>
      <c r="AG34" s="544"/>
      <c r="AH34" s="544"/>
      <c r="AI34" s="544"/>
      <c r="AJ34" s="544"/>
      <c r="AK34" s="50"/>
      <c r="AL34" s="50"/>
      <c r="AM34" s="543"/>
      <c r="AN34" s="128"/>
      <c r="AO34" s="128"/>
      <c r="AP34" s="128"/>
      <c r="AQ34" s="128"/>
      <c r="AR34" s="128"/>
    </row>
    <row r="35" s="185" customFormat="1" ht="18.75" hidden="1" customHeight="1">
      <c r="A35" s="150"/>
      <c r="B35" s="150"/>
      <c r="C35" s="150"/>
      <c r="D35" s="150"/>
      <c r="E35" s="150"/>
      <c r="F35" s="150"/>
      <c r="G35" s="150"/>
      <c r="H35" s="150"/>
      <c r="I35" s="150"/>
      <c r="J35" s="150"/>
      <c r="K35" s="150"/>
      <c r="L35" s="480"/>
      <c r="M35" s="150"/>
      <c r="N35" s="150"/>
      <c r="O35" s="150"/>
      <c r="S35" s="540" t="s">
        <v>416</v>
      </c>
      <c r="T35" s="540"/>
      <c r="U35" s="541"/>
      <c r="V35" s="542" t="str">
        <f>IF(TITLE_NUMBER_PR_CHANGE="",IF(TITLE_NUMBER_PR="","",TITLE_NUMBER_PR),TITLE_NUMBER_PR_CHANGE)</f>
        <v/>
      </c>
      <c r="W35" s="542"/>
      <c r="X35" s="542"/>
      <c r="Y35" s="542"/>
      <c r="Z35" s="542"/>
      <c r="AA35" s="542"/>
      <c r="AB35" s="542"/>
      <c r="AC35" s="50"/>
      <c r="AD35" s="542" t="str">
        <f>IF(TITLE_NUMBER_PR_CHANGE="",IF(TITLE_NUMBER_PR="","",TITLE_NUMBER_PR),TITLE_NUMBER_PR_CHANGE)</f>
        <v/>
      </c>
      <c r="AE35" s="542"/>
      <c r="AF35" s="542"/>
      <c r="AG35" s="542"/>
      <c r="AH35" s="542"/>
      <c r="AI35" s="542"/>
      <c r="AJ35" s="542"/>
      <c r="AK35" s="50"/>
      <c r="AL35" s="50"/>
      <c r="AM35" s="543"/>
      <c r="AN35" s="128"/>
      <c r="AO35" s="128"/>
      <c r="AP35" s="128"/>
      <c r="AQ35" s="128"/>
      <c r="AR35" s="128"/>
    </row>
    <row r="36" s="185" customFormat="1" ht="0" customHeight="1">
      <c r="A36" s="150"/>
      <c r="B36" s="150"/>
      <c r="C36" s="150"/>
      <c r="D36" s="150"/>
      <c r="E36" s="150"/>
      <c r="F36" s="150"/>
      <c r="G36" s="150"/>
      <c r="H36" s="150"/>
      <c r="I36" s="150"/>
      <c r="J36" s="150"/>
      <c r="K36" s="150"/>
      <c r="L36" s="480"/>
      <c r="M36" s="150"/>
      <c r="N36" s="150"/>
      <c r="O36" s="150"/>
      <c r="S36" s="50"/>
      <c r="T36" s="50"/>
      <c r="U36" s="139"/>
      <c r="V36" s="50"/>
      <c r="W36" s="50"/>
      <c r="X36" s="50"/>
      <c r="Y36" s="50"/>
      <c r="Z36" s="50"/>
      <c r="AA36" s="50"/>
      <c r="AB36" s="50"/>
      <c r="AC36" s="57" t="s">
        <v>417</v>
      </c>
      <c r="AD36" s="50"/>
      <c r="AE36" s="50"/>
      <c r="AF36" s="50"/>
      <c r="AG36" s="50"/>
      <c r="AH36" s="50"/>
      <c r="AI36" s="50"/>
      <c r="AJ36" s="50"/>
      <c r="AK36" s="57" t="s">
        <v>417</v>
      </c>
      <c r="AN36" s="128"/>
      <c r="AO36" s="128"/>
      <c r="AP36" s="128"/>
      <c r="AQ36" s="128"/>
      <c r="AR36" s="128"/>
    </row>
    <row r="37" ht="14.25" customHeight="1">
      <c r="Q37" s="537"/>
      <c r="R37" s="537"/>
      <c r="S37" s="538"/>
      <c r="T37" s="89"/>
      <c r="U37" s="545"/>
      <c r="V37" s="546"/>
      <c r="W37" s="546"/>
      <c r="X37" s="546"/>
      <c r="Y37" s="546"/>
      <c r="Z37" s="546"/>
      <c r="AA37" s="546"/>
      <c r="AB37" s="546"/>
      <c r="AC37" s="546"/>
      <c r="AD37" s="546"/>
      <c r="AE37" s="546"/>
      <c r="AF37" s="546"/>
      <c r="AG37" s="546"/>
      <c r="AH37" s="546"/>
      <c r="AI37" s="546"/>
      <c r="AJ37" s="546"/>
      <c r="AK37" s="546"/>
    </row>
    <row r="38" ht="14.25" customHeight="1">
      <c r="Q38" s="537"/>
      <c r="R38" s="537"/>
      <c r="S38" s="156" t="s">
        <v>288</v>
      </c>
      <c r="T38" s="156"/>
      <c r="U38" s="156"/>
      <c r="V38" s="156"/>
      <c r="W38" s="156"/>
      <c r="X38" s="156"/>
      <c r="Y38" s="156"/>
      <c r="Z38" s="156"/>
      <c r="AA38" s="156"/>
      <c r="AB38" s="156"/>
      <c r="AC38" s="156"/>
      <c r="AD38" s="156"/>
      <c r="AE38" s="156"/>
      <c r="AF38" s="156"/>
      <c r="AG38" s="156"/>
      <c r="AH38" s="156"/>
      <c r="AI38" s="156"/>
      <c r="AJ38" s="156"/>
      <c r="AK38" s="156"/>
      <c r="AL38" s="156"/>
      <c r="AM38" s="156" t="s">
        <v>289</v>
      </c>
    </row>
    <row r="39" ht="14.25" customHeight="1">
      <c r="Q39" s="537"/>
      <c r="R39" s="537"/>
      <c r="S39" s="483" t="s">
        <v>85</v>
      </c>
      <c r="T39" s="347" t="s">
        <v>418</v>
      </c>
      <c r="U39" s="547"/>
      <c r="V39" s="548" t="s">
        <v>419</v>
      </c>
      <c r="W39" s="549"/>
      <c r="X39" s="549"/>
      <c r="Y39" s="549"/>
      <c r="Z39" s="549"/>
      <c r="AA39" s="549"/>
      <c r="AB39" s="550"/>
      <c r="AC39" s="551" t="s">
        <v>420</v>
      </c>
      <c r="AD39" s="548" t="s">
        <v>419</v>
      </c>
      <c r="AE39" s="549"/>
      <c r="AF39" s="549"/>
      <c r="AG39" s="549"/>
      <c r="AH39" s="549"/>
      <c r="AI39" s="549"/>
      <c r="AJ39" s="550"/>
      <c r="AK39" s="551" t="s">
        <v>421</v>
      </c>
      <c r="AL39" s="552" t="s">
        <v>422</v>
      </c>
      <c r="AM39" s="156"/>
    </row>
    <row r="40" ht="33.75" customHeight="1">
      <c r="Q40" s="537"/>
      <c r="R40" s="537"/>
      <c r="S40" s="483"/>
      <c r="T40" s="347"/>
      <c r="U40" s="553"/>
      <c r="V40" s="306" t="s">
        <v>423</v>
      </c>
      <c r="W40" s="554" t="s">
        <v>424</v>
      </c>
      <c r="X40" s="73" t="s">
        <v>425</v>
      </c>
      <c r="Y40" s="72"/>
      <c r="Z40" s="73" t="s">
        <v>426</v>
      </c>
      <c r="AA40" s="144"/>
      <c r="AB40" s="72"/>
      <c r="AC40" s="555"/>
      <c r="AD40" s="306" t="s">
        <v>423</v>
      </c>
      <c r="AE40" s="554" t="s">
        <v>424</v>
      </c>
      <c r="AF40" s="73" t="s">
        <v>425</v>
      </c>
      <c r="AG40" s="72"/>
      <c r="AH40" s="73" t="s">
        <v>426</v>
      </c>
      <c r="AI40" s="144"/>
      <c r="AJ40" s="72"/>
      <c r="AK40" s="555"/>
      <c r="AL40" s="556"/>
      <c r="AM40" s="156"/>
    </row>
    <row r="41" ht="33.75" customHeight="1">
      <c r="A41" s="150"/>
      <c r="B41" s="150" t="s">
        <v>137</v>
      </c>
      <c r="C41" s="150" t="s">
        <v>138</v>
      </c>
      <c r="D41" s="150" t="s">
        <v>139</v>
      </c>
      <c r="E41" s="480" t="s">
        <v>427</v>
      </c>
      <c r="F41" s="480" t="s">
        <v>428</v>
      </c>
      <c r="G41" s="480" t="s">
        <v>429</v>
      </c>
      <c r="H41" s="480" t="s">
        <v>430</v>
      </c>
      <c r="I41" s="480" t="s">
        <v>431</v>
      </c>
      <c r="J41" s="480" t="s">
        <v>432</v>
      </c>
      <c r="K41" s="480" t="s">
        <v>433</v>
      </c>
      <c r="L41" s="480" t="s">
        <v>408</v>
      </c>
      <c r="Q41" s="537"/>
      <c r="R41" s="537"/>
      <c r="S41" s="483"/>
      <c r="T41" s="347"/>
      <c r="U41" s="557"/>
      <c r="V41" s="161"/>
      <c r="W41" s="558"/>
      <c r="X41" s="247" t="s">
        <v>434</v>
      </c>
      <c r="Y41" s="247" t="s">
        <v>435</v>
      </c>
      <c r="Z41" s="247" t="s">
        <v>436</v>
      </c>
      <c r="AA41" s="414" t="s">
        <v>437</v>
      </c>
      <c r="AB41" s="416"/>
      <c r="AC41" s="559"/>
      <c r="AD41" s="161"/>
      <c r="AE41" s="558"/>
      <c r="AF41" s="247" t="s">
        <v>434</v>
      </c>
      <c r="AG41" s="247" t="s">
        <v>435</v>
      </c>
      <c r="AH41" s="247" t="s">
        <v>436</v>
      </c>
      <c r="AI41" s="414" t="s">
        <v>437</v>
      </c>
      <c r="AJ41" s="416"/>
      <c r="AK41" s="559"/>
      <c r="AL41" s="560"/>
      <c r="AM41" s="156"/>
    </row>
    <row r="42" s="130" customFormat="1" ht="11.25" hidden="1" customHeight="1">
      <c r="A42" s="150"/>
      <c r="B42" s="150"/>
      <c r="C42" s="150"/>
      <c r="D42" s="150"/>
      <c r="E42" s="150"/>
      <c r="F42" s="150"/>
      <c r="G42" s="150"/>
      <c r="H42" s="150"/>
      <c r="I42" s="150"/>
      <c r="J42" s="150"/>
      <c r="K42" s="150"/>
      <c r="L42" s="480"/>
      <c r="M42" s="61"/>
      <c r="N42" s="61"/>
      <c r="O42" s="61"/>
      <c r="P42" s="561"/>
      <c r="Q42" s="562"/>
      <c r="R42" s="563">
        <v>1</v>
      </c>
      <c r="S42" s="564" t="s">
        <v>111</v>
      </c>
      <c r="T42" s="565" t="s">
        <v>99</v>
      </c>
      <c r="U42" s="566" t="str">
        <f ca="1">OFFSET(U42,0,-1)</f>
        <v>2</v>
      </c>
      <c r="V42" s="567">
        <f ca="1">OFFSET(V42,0,-1)+1</f>
        <v>3</v>
      </c>
      <c r="W42" s="567"/>
      <c r="X42" s="567">
        <f ca="1">OFFSET(X42,0,-1)+1</f>
        <v>1</v>
      </c>
      <c r="Y42" s="567">
        <f ca="1">OFFSET(Y42,0,-1)+1</f>
        <v>2</v>
      </c>
      <c r="Z42" s="567">
        <f ca="1">OFFSET(Z42,0,-1)+1</f>
        <v>3</v>
      </c>
      <c r="AA42" s="567">
        <f ca="1">OFFSET(AA42,0,-1)+1</f>
        <v>4</v>
      </c>
      <c r="AB42" s="567"/>
      <c r="AC42" s="567">
        <f ca="1">OFFSET(AC42,0,-2)+1</f>
        <v>5</v>
      </c>
      <c r="AD42" s="567">
        <f ca="1">OFFSET(AD42,0,-1)+1</f>
        <v>6</v>
      </c>
      <c r="AE42" s="567"/>
      <c r="AF42" s="567">
        <f ca="1">OFFSET(AF42,0,-1)+1</f>
        <v>1</v>
      </c>
      <c r="AG42" s="567">
        <f ca="1">OFFSET(AG42,0,-1)+1</f>
        <v>2</v>
      </c>
      <c r="AH42" s="567">
        <f ca="1">OFFSET(AH42,0,-1)+1</f>
        <v>3</v>
      </c>
      <c r="AI42" s="567">
        <f ca="1">OFFSET(AI42,0,-1)+1</f>
        <v>4</v>
      </c>
      <c r="AJ42" s="567"/>
      <c r="AK42" s="567">
        <f ca="1">OFFSET(AK42,0,-2)+1</f>
        <v>5</v>
      </c>
      <c r="AL42" s="566">
        <f ca="1">OFFSET(AL42,0,-1)</f>
        <v>5</v>
      </c>
      <c r="AM42" s="567">
        <f ca="1">OFFSET(AM42,0,-1)+1</f>
        <v>6</v>
      </c>
      <c r="AN42" s="57"/>
      <c r="AO42" s="57"/>
      <c r="AP42" s="57"/>
      <c r="AQ42" s="57"/>
      <c r="AR42" s="57"/>
    </row>
    <row r="43" ht="23.25" customHeight="1">
      <c r="A43" s="478" t="s">
        <v>158</v>
      </c>
      <c r="B43" s="478"/>
      <c r="C43" s="478"/>
      <c r="D43" s="478"/>
      <c r="E43" s="479">
        <v>1</v>
      </c>
      <c r="F43" s="478"/>
      <c r="G43" s="478"/>
      <c r="H43" s="478"/>
      <c r="I43" s="478"/>
      <c r="J43" s="478"/>
      <c r="K43" s="478"/>
      <c r="L43" s="480"/>
      <c r="M43" s="481"/>
      <c r="N43" s="481"/>
      <c r="O43" s="481"/>
      <c r="P43" s="60"/>
      <c r="Q43" s="142"/>
      <c r="R43" s="482"/>
      <c r="S43" s="483">
        <f>INDEX(PT_DIFFERENTIATION_NUM_NTAR,MATCH(A43,PT_DIFFERENTIATION_NTAR_ID,0))</f>
        <v>0</v>
      </c>
      <c r="T43" s="484" t="s">
        <v>125</v>
      </c>
      <c r="U43" s="485"/>
      <c r="V43" s="486"/>
      <c r="W43" s="487"/>
      <c r="X43" s="487"/>
      <c r="Y43" s="487"/>
      <c r="Z43" s="487"/>
      <c r="AA43" s="487"/>
      <c r="AB43" s="487"/>
      <c r="AC43" s="488"/>
      <c r="AD43" s="486" t="str">
        <f>INDEX(PT_DIFFERENTIATION_NTAR,MATCH(A43,PT_DIFFERENTIATION_NTAR_ID,0))</f>
        <v/>
      </c>
      <c r="AE43" s="487"/>
      <c r="AF43" s="487"/>
      <c r="AG43" s="487"/>
      <c r="AH43" s="487"/>
      <c r="AI43" s="487"/>
      <c r="AJ43" s="487"/>
      <c r="AK43" s="487"/>
      <c r="AL43" s="488"/>
      <c r="AM43" s="4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8"/>
      <c r="AP43" s="128" t="str">
        <f t="shared" si="4"/>
        <v xml:space="preserve">Наименование тарифа</v>
      </c>
      <c r="AQ43" s="128"/>
      <c r="AR43" s="128"/>
    </row>
    <row r="44" ht="23.25" customHeight="1">
      <c r="A44" s="478" t="s">
        <v>158</v>
      </c>
      <c r="B44" s="478" t="s">
        <v>159</v>
      </c>
      <c r="C44" s="478"/>
      <c r="D44" s="478"/>
      <c r="E44" s="490"/>
      <c r="F44" s="479">
        <v>1</v>
      </c>
      <c r="G44" s="478"/>
      <c r="H44" s="478"/>
      <c r="I44" s="478"/>
      <c r="J44" s="478"/>
      <c r="K44" s="478"/>
      <c r="L44" s="480"/>
      <c r="M44" s="481"/>
      <c r="N44" s="481"/>
      <c r="O44" s="481"/>
      <c r="P44" s="51"/>
      <c r="Q44" s="491"/>
      <c r="R44" s="492"/>
      <c r="S44" s="483" t="str">
        <f>INDEX(PT_DIFFERENTIATION_NUM_TER,MATCH(B44,PT_DIFFERENTIATION_TER_ID,0))</f>
        <v>.</v>
      </c>
      <c r="T44" s="493" t="s">
        <v>387</v>
      </c>
      <c r="U44" s="485"/>
      <c r="V44" s="486"/>
      <c r="W44" s="487"/>
      <c r="X44" s="487"/>
      <c r="Y44" s="487"/>
      <c r="Z44" s="487"/>
      <c r="AA44" s="487"/>
      <c r="AB44" s="487"/>
      <c r="AC44" s="488"/>
      <c r="AD44" s="486" t="str">
        <f>INDEX(PT_DIFFERENTIATION_TER,MATCH(B44,PT_DIFFERENTIATION_TER_ID,0))</f>
        <v/>
      </c>
      <c r="AE44" s="487"/>
      <c r="AF44" s="487"/>
      <c r="AG44" s="487"/>
      <c r="AH44" s="487"/>
      <c r="AI44" s="487"/>
      <c r="AJ44" s="487"/>
      <c r="AK44" s="487"/>
      <c r="AL44" s="488"/>
      <c r="AM44" s="489" t="s">
        <v>388</v>
      </c>
      <c r="AO44" s="128"/>
      <c r="AP44" s="128" t="str">
        <f t="shared" si="4"/>
        <v xml:space="preserve">Территория действия тарифа</v>
      </c>
      <c r="AQ44" s="128"/>
      <c r="AR44" s="128"/>
    </row>
    <row r="45" ht="23.25" customHeight="1">
      <c r="A45" s="478" t="s">
        <v>158</v>
      </c>
      <c r="B45" s="478" t="s">
        <v>159</v>
      </c>
      <c r="C45" s="478" t="s">
        <v>160</v>
      </c>
      <c r="D45" s="478"/>
      <c r="E45" s="490"/>
      <c r="F45" s="490"/>
      <c r="G45" s="479">
        <v>1</v>
      </c>
      <c r="H45" s="478"/>
      <c r="I45" s="478"/>
      <c r="J45" s="478"/>
      <c r="K45" s="478"/>
      <c r="L45" s="480"/>
      <c r="M45" s="481"/>
      <c r="N45" s="481"/>
      <c r="O45" s="481"/>
      <c r="P45" s="494"/>
      <c r="Q45" s="491"/>
      <c r="R45" s="492"/>
      <c r="S45" s="483" t="str">
        <f>INDEX(PT_DIFFERENTIATION_NUM_CS,MATCH(C45,PT_DIFFERENTIATION_CS_ID,0))</f>
        <v>..</v>
      </c>
      <c r="T45" s="495" t="s">
        <v>389</v>
      </c>
      <c r="U45" s="485"/>
      <c r="V45" s="486"/>
      <c r="W45" s="487"/>
      <c r="X45" s="487"/>
      <c r="Y45" s="487"/>
      <c r="Z45" s="487"/>
      <c r="AA45" s="487"/>
      <c r="AB45" s="487"/>
      <c r="AC45" s="488"/>
      <c r="AD45" s="486" t="str">
        <f>INDEX(PT_DIFFERENTIATION_CS,MATCH(C45,PT_DIFFERENTIATION_CS_ID,0))</f>
        <v/>
      </c>
      <c r="AE45" s="487"/>
      <c r="AF45" s="487"/>
      <c r="AG45" s="487"/>
      <c r="AH45" s="487"/>
      <c r="AI45" s="487"/>
      <c r="AJ45" s="487"/>
      <c r="AK45" s="487"/>
      <c r="AL45" s="488"/>
      <c r="AM45" s="489" t="s">
        <v>390</v>
      </c>
      <c r="AO45" s="128"/>
      <c r="AP45" s="128" t="str">
        <f t="shared" si="4"/>
        <v xml:space="preserve">Наименование системы теплоснабжения</v>
      </c>
      <c r="AQ45" s="128"/>
      <c r="AR45" s="128"/>
    </row>
    <row r="46" ht="23.25" customHeight="1">
      <c r="A46" s="478" t="s">
        <v>158</v>
      </c>
      <c r="B46" s="478" t="s">
        <v>159</v>
      </c>
      <c r="C46" s="478" t="s">
        <v>160</v>
      </c>
      <c r="D46" s="478" t="s">
        <v>161</v>
      </c>
      <c r="E46" s="490"/>
      <c r="F46" s="490"/>
      <c r="G46" s="490"/>
      <c r="H46" s="479">
        <v>1</v>
      </c>
      <c r="I46" s="478"/>
      <c r="J46" s="478"/>
      <c r="K46" s="478"/>
      <c r="L46" s="480"/>
      <c r="M46" s="481"/>
      <c r="N46" s="481"/>
      <c r="O46" s="481"/>
      <c r="P46" s="494"/>
      <c r="Q46" s="491"/>
      <c r="R46" s="492"/>
      <c r="S46" s="483" t="str">
        <f>INDEX(PT_DIFFERENTIATION_NUM_IST_TE,MATCH(D46,PT_DIFFERENTIATION_IST_TE_ID,0))</f>
        <v>...</v>
      </c>
      <c r="T46" s="496" t="s">
        <v>391</v>
      </c>
      <c r="U46" s="485"/>
      <c r="V46" s="486"/>
      <c r="W46" s="487"/>
      <c r="X46" s="487"/>
      <c r="Y46" s="487"/>
      <c r="Z46" s="487"/>
      <c r="AA46" s="487"/>
      <c r="AB46" s="487"/>
      <c r="AC46" s="488"/>
      <c r="AD46" s="486" t="str">
        <f>INDEX(PT_DIFFERENTIATION_IST_TE,MATCH(D46,PT_DIFFERENTIATION_IST_TE_ID,0))</f>
        <v/>
      </c>
      <c r="AE46" s="487"/>
      <c r="AF46" s="487"/>
      <c r="AG46" s="487"/>
      <c r="AH46" s="487"/>
      <c r="AI46" s="487"/>
      <c r="AJ46" s="487"/>
      <c r="AK46" s="487"/>
      <c r="AL46" s="488"/>
      <c r="AM46" s="489" t="s">
        <v>392</v>
      </c>
      <c r="AO46" s="128"/>
      <c r="AP46" s="128" t="str">
        <f t="shared" si="4"/>
        <v xml:space="preserve">Источник тепловой энергии</v>
      </c>
      <c r="AQ46" s="128"/>
      <c r="AR46" s="128"/>
    </row>
    <row r="47" ht="47.25" customHeight="1">
      <c r="A47" s="478" t="s">
        <v>158</v>
      </c>
      <c r="B47" s="478" t="s">
        <v>159</v>
      </c>
      <c r="C47" s="478" t="s">
        <v>160</v>
      </c>
      <c r="D47" s="478" t="s">
        <v>161</v>
      </c>
      <c r="E47" s="490"/>
      <c r="F47" s="490"/>
      <c r="G47" s="490"/>
      <c r="H47" s="490"/>
      <c r="I47" s="167" t="str">
        <f>S46&amp;".1"</f>
        <v>....1</v>
      </c>
      <c r="J47" s="478"/>
      <c r="K47" s="478"/>
      <c r="L47" s="480" t="s">
        <v>393</v>
      </c>
      <c r="P47" s="131">
        <v>1</v>
      </c>
      <c r="Q47" s="131"/>
      <c r="R47" s="497"/>
      <c r="S47" s="483" t="str">
        <f>$I47</f>
        <v>....1</v>
      </c>
      <c r="T47" s="498" t="s">
        <v>394</v>
      </c>
      <c r="U47" s="485"/>
      <c r="V47" s="430"/>
      <c r="W47" s="499"/>
      <c r="X47" s="499"/>
      <c r="Y47" s="499"/>
      <c r="Z47" s="499"/>
      <c r="AA47" s="499"/>
      <c r="AB47" s="499"/>
      <c r="AC47" s="500"/>
      <c r="AD47" s="430"/>
      <c r="AE47" s="499"/>
      <c r="AF47" s="499"/>
      <c r="AG47" s="499"/>
      <c r="AH47" s="499"/>
      <c r="AI47" s="499"/>
      <c r="AJ47" s="499"/>
      <c r="AK47" s="499"/>
      <c r="AL47" s="500"/>
      <c r="AM47" s="489" t="s">
        <v>395</v>
      </c>
      <c r="AO47" s="128"/>
      <c r="AP47" s="128" t="str">
        <f t="shared" si="4"/>
        <v xml:space="preserve">Схема подключения теплопотребляющей установки к коллектору источника тепловой энергии</v>
      </c>
      <c r="AQ47" s="128"/>
      <c r="AR47" s="128"/>
    </row>
    <row r="48" ht="23.25" customHeight="1">
      <c r="A48" s="478" t="s">
        <v>158</v>
      </c>
      <c r="B48" s="478" t="s">
        <v>159</v>
      </c>
      <c r="C48" s="478" t="s">
        <v>160</v>
      </c>
      <c r="D48" s="478" t="s">
        <v>161</v>
      </c>
      <c r="E48" s="490"/>
      <c r="F48" s="490"/>
      <c r="G48" s="490"/>
      <c r="H48" s="490"/>
      <c r="I48" s="501"/>
      <c r="J48" s="167" t="str">
        <f>I47&amp;".1"</f>
        <v>....1.1</v>
      </c>
      <c r="K48" s="478"/>
      <c r="L48" s="480" t="s">
        <v>396</v>
      </c>
      <c r="P48" s="131"/>
      <c r="Q48" s="131">
        <v>1</v>
      </c>
      <c r="R48" s="502"/>
      <c r="S48" s="483" t="str">
        <f>$J48</f>
        <v>....1.1</v>
      </c>
      <c r="T48" s="503" t="s">
        <v>397</v>
      </c>
      <c r="U48" s="485"/>
      <c r="V48" s="430"/>
      <c r="W48" s="499"/>
      <c r="X48" s="499"/>
      <c r="Y48" s="499"/>
      <c r="Z48" s="499"/>
      <c r="AA48" s="499"/>
      <c r="AB48" s="499"/>
      <c r="AC48" s="500"/>
      <c r="AD48" s="430"/>
      <c r="AE48" s="499"/>
      <c r="AF48" s="499"/>
      <c r="AG48" s="499"/>
      <c r="AH48" s="499"/>
      <c r="AI48" s="499"/>
      <c r="AJ48" s="499"/>
      <c r="AK48" s="499"/>
      <c r="AL48" s="500"/>
      <c r="AM48" s="489" t="s">
        <v>398</v>
      </c>
      <c r="AO48" s="128"/>
      <c r="AP48" s="128" t="str">
        <f t="shared" si="4"/>
        <v xml:space="preserve">Группа потребителей</v>
      </c>
      <c r="AQ48" s="128"/>
      <c r="AR48" s="128"/>
    </row>
    <row r="49" ht="23.25" customHeight="1">
      <c r="A49" s="478" t="s">
        <v>158</v>
      </c>
      <c r="B49" s="478" t="s">
        <v>159</v>
      </c>
      <c r="C49" s="478" t="s">
        <v>160</v>
      </c>
      <c r="D49" s="478" t="s">
        <v>161</v>
      </c>
      <c r="E49" s="490"/>
      <c r="F49" s="490"/>
      <c r="G49" s="490"/>
      <c r="H49" s="490"/>
      <c r="I49" s="501"/>
      <c r="J49" s="501"/>
      <c r="K49" s="167" t="str">
        <f>J48&amp;".1"</f>
        <v>....1.1.1</v>
      </c>
      <c r="L49" s="480" t="s">
        <v>399</v>
      </c>
      <c r="P49" s="131"/>
      <c r="Q49" s="131"/>
      <c r="R49" s="502">
        <v>1</v>
      </c>
      <c r="S49" s="483" t="str">
        <f>$K49</f>
        <v>....1.1.1</v>
      </c>
      <c r="T49" s="504"/>
      <c r="U49" s="485"/>
      <c r="V49" s="505"/>
      <c r="W49" s="506"/>
      <c r="X49" s="505"/>
      <c r="Y49" s="507"/>
      <c r="Z49" s="508"/>
      <c r="AA49" s="225" t="s">
        <v>56</v>
      </c>
      <c r="AB49" s="508"/>
      <c r="AC49" s="225" t="s">
        <v>56</v>
      </c>
      <c r="AD49" s="505"/>
      <c r="AE49" s="506"/>
      <c r="AF49" s="505"/>
      <c r="AG49" s="507"/>
      <c r="AH49" s="508"/>
      <c r="AI49" s="225" t="s">
        <v>56</v>
      </c>
      <c r="AJ49" s="568"/>
      <c r="AK49" s="225" t="s">
        <v>56</v>
      </c>
      <c r="AL49" s="569"/>
      <c r="AM49" s="509" t="s">
        <v>400</v>
      </c>
      <c r="AN49" s="57" t="e">
        <f>STRCHECKDATE(V50:AL50)</f>
        <v>#NAME?</v>
      </c>
      <c r="AO49" s="128"/>
      <c r="AP49" s="128" t="str">
        <f t="shared" si="4"/>
        <v/>
      </c>
      <c r="AQ49" s="128"/>
      <c r="AR49" s="128"/>
    </row>
    <row r="50" ht="0.75" customHeight="1">
      <c r="A50" s="478" t="s">
        <v>158</v>
      </c>
      <c r="B50" s="478" t="s">
        <v>159</v>
      </c>
      <c r="C50" s="478" t="s">
        <v>160</v>
      </c>
      <c r="D50" s="478" t="s">
        <v>161</v>
      </c>
      <c r="E50" s="490"/>
      <c r="F50" s="490"/>
      <c r="G50" s="490"/>
      <c r="H50" s="490"/>
      <c r="I50" s="501"/>
      <c r="J50" s="501"/>
      <c r="K50" s="167"/>
      <c r="L50" s="480"/>
      <c r="P50" s="131"/>
      <c r="Q50" s="131"/>
      <c r="R50" s="502"/>
      <c r="S50" s="457"/>
      <c r="T50" s="485"/>
      <c r="U50" s="485"/>
      <c r="V50" s="506"/>
      <c r="W50" s="506"/>
      <c r="X50" s="506"/>
      <c r="Y50" s="510" t="str">
        <f>Z49&amp;"-"&amp;AB49</f>
        <v>-</v>
      </c>
      <c r="Z50" s="511"/>
      <c r="AA50" s="225"/>
      <c r="AB50" s="511"/>
      <c r="AC50" s="225"/>
      <c r="AD50" s="506"/>
      <c r="AE50" s="506"/>
      <c r="AF50" s="506"/>
      <c r="AG50" s="510" t="str">
        <f>AH49&amp;"-"&amp;AJ49</f>
        <v>-</v>
      </c>
      <c r="AH50" s="511"/>
      <c r="AI50" s="225"/>
      <c r="AJ50" s="570"/>
      <c r="AK50" s="225"/>
      <c r="AL50" s="571"/>
      <c r="AM50" s="512"/>
      <c r="AO50" s="128"/>
      <c r="AP50" s="128" t="str">
        <f t="shared" si="4"/>
        <v/>
      </c>
      <c r="AQ50" s="128"/>
      <c r="AR50" s="128"/>
    </row>
    <row r="51" ht="11.25" customHeight="1">
      <c r="A51" s="478" t="s">
        <v>158</v>
      </c>
      <c r="B51" s="478" t="s">
        <v>159</v>
      </c>
      <c r="C51" s="478" t="s">
        <v>160</v>
      </c>
      <c r="D51" s="478" t="s">
        <v>161</v>
      </c>
      <c r="E51" s="490"/>
      <c r="F51" s="490"/>
      <c r="G51" s="490"/>
      <c r="H51" s="490"/>
      <c r="I51" s="501"/>
      <c r="J51" s="167"/>
      <c r="K51" s="478"/>
      <c r="L51" s="480"/>
      <c r="P51" s="131"/>
      <c r="Q51" s="131"/>
      <c r="R51" s="497"/>
      <c r="S51" s="513"/>
      <c r="T51" s="514" t="s">
        <v>401</v>
      </c>
      <c r="U51" s="215"/>
      <c r="V51" s="215"/>
      <c r="W51" s="215"/>
      <c r="X51" s="215"/>
      <c r="Y51" s="215"/>
      <c r="Z51" s="215"/>
      <c r="AA51" s="215"/>
      <c r="AB51" s="215"/>
      <c r="AC51" s="215"/>
      <c r="AD51" s="215"/>
      <c r="AE51" s="215"/>
      <c r="AF51" s="215"/>
      <c r="AG51" s="215"/>
      <c r="AH51" s="215"/>
      <c r="AI51" s="215"/>
      <c r="AJ51" s="215"/>
      <c r="AK51" s="215"/>
      <c r="AL51" s="515"/>
      <c r="AM51" s="516"/>
      <c r="AO51" s="128"/>
      <c r="AP51" s="128" t="str">
        <f t="shared" si="4"/>
        <v xml:space="preserve">Добавить вид теплоносителя (параметры теплоносителя)</v>
      </c>
      <c r="AQ51" s="128"/>
      <c r="AR51" s="128"/>
    </row>
    <row r="52" ht="11.25" customHeight="1">
      <c r="A52" s="478" t="s">
        <v>158</v>
      </c>
      <c r="B52" s="478" t="s">
        <v>159</v>
      </c>
      <c r="C52" s="478" t="s">
        <v>160</v>
      </c>
      <c r="D52" s="478" t="s">
        <v>161</v>
      </c>
      <c r="E52" s="490"/>
      <c r="F52" s="490"/>
      <c r="G52" s="490"/>
      <c r="H52" s="490"/>
      <c r="I52" s="167"/>
      <c r="J52" s="478"/>
      <c r="K52" s="478"/>
      <c r="L52" s="480"/>
      <c r="P52" s="131"/>
      <c r="Q52" s="131"/>
      <c r="R52" s="497"/>
      <c r="S52" s="513"/>
      <c r="T52" s="517" t="s">
        <v>402</v>
      </c>
      <c r="U52" s="215"/>
      <c r="V52" s="215"/>
      <c r="W52" s="215"/>
      <c r="X52" s="215"/>
      <c r="Y52" s="215"/>
      <c r="Z52" s="215"/>
      <c r="AA52" s="215"/>
      <c r="AB52" s="215"/>
      <c r="AC52" s="518"/>
      <c r="AD52" s="215"/>
      <c r="AE52" s="215"/>
      <c r="AF52" s="215"/>
      <c r="AG52" s="215"/>
      <c r="AH52" s="215"/>
      <c r="AI52" s="215"/>
      <c r="AJ52" s="215"/>
      <c r="AK52" s="518"/>
      <c r="AL52" s="215"/>
      <c r="AM52" s="519"/>
      <c r="AO52" s="128"/>
      <c r="AP52" s="128" t="str">
        <f t="shared" si="4"/>
        <v xml:space="preserve">Добавить группу потребителей</v>
      </c>
      <c r="AQ52" s="128"/>
      <c r="AR52" s="128"/>
    </row>
    <row r="53" ht="14.25" customHeight="1">
      <c r="A53" s="478" t="s">
        <v>158</v>
      </c>
      <c r="B53" s="478" t="s">
        <v>159</v>
      </c>
      <c r="C53" s="478" t="s">
        <v>160</v>
      </c>
      <c r="D53" s="478" t="s">
        <v>161</v>
      </c>
      <c r="E53" s="490"/>
      <c r="F53" s="490"/>
      <c r="G53" s="490"/>
      <c r="H53" s="479"/>
      <c r="I53" s="478"/>
      <c r="J53" s="478"/>
      <c r="K53" s="478"/>
      <c r="L53" s="480"/>
      <c r="M53" s="481"/>
      <c r="N53" s="481"/>
      <c r="O53" s="53"/>
      <c r="P53" s="142"/>
      <c r="Q53" s="520"/>
      <c r="R53" s="482"/>
      <c r="S53" s="513"/>
      <c r="T53" s="521" t="s">
        <v>403</v>
      </c>
      <c r="U53" s="215"/>
      <c r="V53" s="215"/>
      <c r="W53" s="215"/>
      <c r="X53" s="215"/>
      <c r="Y53" s="215"/>
      <c r="Z53" s="215"/>
      <c r="AA53" s="215"/>
      <c r="AB53" s="215"/>
      <c r="AC53" s="518"/>
      <c r="AD53" s="215"/>
      <c r="AE53" s="215"/>
      <c r="AF53" s="215"/>
      <c r="AG53" s="215"/>
      <c r="AH53" s="215"/>
      <c r="AI53" s="215"/>
      <c r="AJ53" s="215"/>
      <c r="AK53" s="518"/>
      <c r="AL53" s="215"/>
      <c r="AM53" s="519"/>
      <c r="AO53" s="128"/>
      <c r="AP53" s="128" t="str">
        <f t="shared" si="4"/>
        <v xml:space="preserve">Добавить схему подключения</v>
      </c>
      <c r="AQ53" s="128"/>
      <c r="AR53" s="128"/>
    </row>
    <row r="54" s="57" customFormat="1" ht="0.75" customHeight="1">
      <c r="A54" s="132" t="s">
        <v>158</v>
      </c>
      <c r="B54" s="132" t="s">
        <v>159</v>
      </c>
      <c r="C54" s="132" t="s">
        <v>160</v>
      </c>
      <c r="D54" s="132"/>
      <c r="E54" s="490"/>
      <c r="F54" s="490"/>
      <c r="G54" s="479"/>
      <c r="H54" s="132"/>
      <c r="I54" s="132"/>
      <c r="J54" s="132"/>
      <c r="K54" s="132"/>
      <c r="L54" s="213"/>
      <c r="M54" s="463"/>
      <c r="N54" s="463"/>
      <c r="P54" s="166"/>
      <c r="Q54" s="522"/>
      <c r="R54" s="166"/>
      <c r="S54" s="527"/>
      <c r="T54" s="530" t="s">
        <v>404</v>
      </c>
      <c r="U54" s="529"/>
      <c r="V54" s="529"/>
      <c r="W54" s="529"/>
      <c r="X54" s="529"/>
      <c r="Y54" s="529"/>
      <c r="Z54" s="529"/>
      <c r="AA54" s="529"/>
      <c r="AB54" s="529"/>
      <c r="AC54" s="529"/>
      <c r="AD54" s="529"/>
      <c r="AE54" s="529"/>
      <c r="AF54" s="529"/>
      <c r="AG54" s="529"/>
      <c r="AH54" s="529"/>
      <c r="AI54" s="529"/>
      <c r="AJ54" s="529"/>
      <c r="AK54" s="529"/>
      <c r="AL54" s="529"/>
      <c r="AM54" s="529"/>
      <c r="AO54" s="128"/>
      <c r="AP54" s="128" t="str">
        <f t="shared" si="4"/>
        <v xml:space="preserve">Добавить источник для дифференциации</v>
      </c>
      <c r="AQ54" s="128"/>
      <c r="AR54" s="128"/>
    </row>
    <row r="55" s="57" customFormat="1" ht="0.75" customHeight="1">
      <c r="A55" s="132" t="s">
        <v>158</v>
      </c>
      <c r="B55" s="132" t="s">
        <v>159</v>
      </c>
      <c r="C55" s="132"/>
      <c r="D55" s="132"/>
      <c r="E55" s="490"/>
      <c r="F55" s="479"/>
      <c r="G55" s="132"/>
      <c r="H55" s="132"/>
      <c r="I55" s="132"/>
      <c r="J55" s="132"/>
      <c r="K55" s="132"/>
      <c r="L55" s="213"/>
      <c r="M55" s="526"/>
      <c r="N55" s="526"/>
      <c r="P55" s="166"/>
      <c r="Q55" s="522"/>
      <c r="R55" s="166"/>
      <c r="S55" s="527"/>
      <c r="T55" s="530" t="s">
        <v>405</v>
      </c>
      <c r="U55" s="529"/>
      <c r="V55" s="529"/>
      <c r="W55" s="529"/>
      <c r="X55" s="529"/>
      <c r="Y55" s="529"/>
      <c r="Z55" s="529"/>
      <c r="AA55" s="529"/>
      <c r="AB55" s="529"/>
      <c r="AC55" s="529"/>
      <c r="AD55" s="529"/>
      <c r="AE55" s="529"/>
      <c r="AF55" s="529"/>
      <c r="AG55" s="529"/>
      <c r="AH55" s="529"/>
      <c r="AI55" s="529"/>
      <c r="AJ55" s="529"/>
      <c r="AK55" s="529"/>
      <c r="AL55" s="529"/>
      <c r="AM55" s="529"/>
      <c r="AO55" s="128"/>
      <c r="AP55" s="128" t="str">
        <f t="shared" si="4"/>
        <v xml:space="preserve">Добавить централизованную систему для дифференциации</v>
      </c>
      <c r="AQ55" s="128"/>
      <c r="AR55" s="128"/>
    </row>
    <row r="56" s="57" customFormat="1" ht="0.75" customHeight="1">
      <c r="A56" s="132" t="s">
        <v>158</v>
      </c>
      <c r="B56" s="132"/>
      <c r="C56" s="132"/>
      <c r="D56" s="132"/>
      <c r="E56" s="479"/>
      <c r="F56" s="132"/>
      <c r="G56" s="132"/>
      <c r="H56" s="132"/>
      <c r="I56" s="132"/>
      <c r="J56" s="132"/>
      <c r="K56" s="132"/>
      <c r="L56" s="213"/>
      <c r="M56" s="526"/>
      <c r="N56" s="526"/>
      <c r="O56" s="57"/>
      <c r="P56" s="166"/>
      <c r="Q56" s="522"/>
      <c r="R56" s="166"/>
      <c r="S56" s="527"/>
      <c r="T56" s="530" t="s">
        <v>406</v>
      </c>
      <c r="U56" s="529"/>
      <c r="V56" s="529"/>
      <c r="W56" s="529"/>
      <c r="X56" s="529"/>
      <c r="Y56" s="529"/>
      <c r="Z56" s="529"/>
      <c r="AA56" s="529"/>
      <c r="AB56" s="529"/>
      <c r="AC56" s="529"/>
      <c r="AD56" s="529"/>
      <c r="AE56" s="529"/>
      <c r="AF56" s="529"/>
      <c r="AG56" s="529"/>
      <c r="AH56" s="529"/>
      <c r="AI56" s="529"/>
      <c r="AJ56" s="529"/>
      <c r="AK56" s="529"/>
      <c r="AL56" s="529"/>
      <c r="AM56" s="529"/>
      <c r="AO56" s="128"/>
      <c r="AP56" s="128" t="str">
        <f t="shared" si="4"/>
        <v xml:space="preserve">Добавить территорию для дифференциации</v>
      </c>
      <c r="AQ56" s="128"/>
      <c r="AR56" s="128"/>
    </row>
    <row r="57" s="57" customFormat="1" ht="0.75" customHeight="1">
      <c r="A57" s="132"/>
      <c r="B57" s="132"/>
      <c r="C57" s="132"/>
      <c r="D57" s="132"/>
      <c r="E57" s="132"/>
      <c r="F57" s="132"/>
      <c r="G57" s="132"/>
      <c r="H57" s="132"/>
      <c r="I57" s="132"/>
      <c r="J57" s="132"/>
      <c r="K57" s="132"/>
      <c r="L57" s="213"/>
      <c r="M57" s="526"/>
      <c r="N57" s="526"/>
      <c r="P57" s="166"/>
      <c r="Q57" s="522"/>
      <c r="R57" s="166"/>
      <c r="S57" s="527"/>
      <c r="T57" s="530" t="s">
        <v>438</v>
      </c>
      <c r="U57" s="529"/>
      <c r="V57" s="529"/>
      <c r="W57" s="529"/>
      <c r="X57" s="529"/>
      <c r="Y57" s="529"/>
      <c r="Z57" s="529"/>
      <c r="AA57" s="529"/>
      <c r="AB57" s="529"/>
      <c r="AC57" s="529"/>
      <c r="AD57" s="529"/>
      <c r="AE57" s="529"/>
      <c r="AF57" s="529"/>
      <c r="AG57" s="529"/>
      <c r="AH57" s="529"/>
      <c r="AI57" s="529"/>
      <c r="AJ57" s="529"/>
      <c r="AK57" s="529"/>
      <c r="AL57" s="529"/>
      <c r="AM57" s="529"/>
      <c r="AO57" s="128"/>
      <c r="AP57" s="128" t="str">
        <f t="shared" si="4"/>
        <v xml:space="preserve">Добавить наименование тарифа</v>
      </c>
      <c r="AQ57" s="128"/>
      <c r="AR57" s="128"/>
    </row>
    <row r="58" ht="11.25" customHeight="1">
      <c r="M58" s="53"/>
      <c r="N58" s="53"/>
      <c r="O58" s="53"/>
      <c r="P58" s="50"/>
      <c r="Q58" s="50"/>
      <c r="R58" s="50"/>
      <c r="S58" s="50"/>
      <c r="AN58" s="50"/>
      <c r="AO58" s="50"/>
      <c r="AP58" s="50"/>
      <c r="AQ58" s="50"/>
      <c r="AR58" s="50"/>
    </row>
    <row r="59" ht="27" customHeight="1">
      <c r="O59" s="53"/>
      <c r="S59" s="475"/>
      <c r="T59" s="572"/>
      <c r="U59" s="572"/>
      <c r="V59" s="572"/>
      <c r="W59" s="572"/>
      <c r="X59" s="572"/>
      <c r="Y59" s="572"/>
      <c r="Z59" s="572"/>
      <c r="AA59" s="572"/>
      <c r="AB59" s="572"/>
      <c r="AC59" s="572"/>
      <c r="AD59" s="572"/>
      <c r="AE59" s="572"/>
      <c r="AF59" s="572"/>
      <c r="AG59" s="572"/>
      <c r="AH59" s="572"/>
      <c r="AI59" s="572"/>
      <c r="AJ59" s="572"/>
      <c r="AK59" s="572"/>
      <c r="AL59" s="572"/>
      <c r="AM59" s="572"/>
    </row>
    <row r="60" ht="64.5" customHeight="1">
      <c r="O60" s="53"/>
      <c r="P60" s="60"/>
      <c r="T60" s="572"/>
      <c r="U60" s="572"/>
      <c r="V60" s="572"/>
      <c r="W60" s="572"/>
      <c r="X60" s="572"/>
      <c r="Y60" s="572"/>
      <c r="Z60" s="572"/>
      <c r="AA60" s="572"/>
      <c r="AB60" s="572"/>
      <c r="AC60" s="572"/>
      <c r="AD60" s="572"/>
      <c r="AE60" s="572"/>
      <c r="AF60" s="572"/>
      <c r="AG60" s="572"/>
      <c r="AH60" s="572"/>
      <c r="AI60" s="572"/>
      <c r="AJ60" s="572"/>
      <c r="AK60" s="572"/>
      <c r="AL60" s="572"/>
      <c r="AM60" s="572"/>
    </row>
    <row r="61" ht="14.25" customHeight="1">
      <c r="O61" s="53"/>
    </row>
    <row r="62" ht="18" customHeight="1">
      <c r="O62" s="53"/>
      <c r="P62" s="60"/>
      <c r="S62" s="475"/>
      <c r="T62" s="572"/>
      <c r="U62" s="572"/>
      <c r="V62" s="572"/>
      <c r="W62" s="572"/>
      <c r="X62" s="572"/>
      <c r="Y62" s="572"/>
      <c r="Z62" s="572"/>
      <c r="AA62" s="572"/>
      <c r="AB62" s="572"/>
      <c r="AC62" s="572"/>
      <c r="AD62" s="572"/>
      <c r="AE62" s="572"/>
      <c r="AF62" s="572"/>
      <c r="AG62" s="572"/>
      <c r="AH62" s="572"/>
      <c r="AI62" s="572"/>
      <c r="AJ62" s="572"/>
      <c r="AK62" s="572"/>
      <c r="AL62" s="572"/>
      <c r="AM62" s="572"/>
    </row>
    <row r="63" ht="18" customHeight="1">
      <c r="O63" s="53"/>
      <c r="P63" s="60"/>
      <c r="T63" s="572"/>
      <c r="U63" s="572"/>
      <c r="V63" s="572"/>
      <c r="W63" s="572"/>
      <c r="X63" s="572"/>
      <c r="Y63" s="572"/>
      <c r="Z63" s="572"/>
      <c r="AA63" s="572"/>
      <c r="AB63" s="572"/>
      <c r="AC63" s="572"/>
      <c r="AD63" s="572"/>
      <c r="AE63" s="572"/>
      <c r="AF63" s="572"/>
      <c r="AG63" s="572"/>
      <c r="AH63" s="572"/>
      <c r="AI63" s="572"/>
      <c r="AJ63" s="572"/>
      <c r="AK63" s="572"/>
      <c r="AL63" s="572"/>
      <c r="AM63" s="572"/>
    </row>
    <row r="64" ht="27.75" customHeight="1">
      <c r="O64" s="53"/>
      <c r="P64" s="60"/>
      <c r="S64" s="475"/>
      <c r="T64" s="572"/>
      <c r="U64" s="572"/>
      <c r="V64" s="572"/>
      <c r="W64" s="572"/>
      <c r="X64" s="572"/>
      <c r="Y64" s="572"/>
      <c r="Z64" s="572"/>
      <c r="AA64" s="572"/>
      <c r="AB64" s="572"/>
      <c r="AC64" s="572"/>
      <c r="AD64" s="572"/>
      <c r="AE64" s="572"/>
      <c r="AF64" s="572"/>
      <c r="AG64" s="572"/>
      <c r="AH64" s="572"/>
      <c r="AI64" s="572"/>
      <c r="AJ64" s="572"/>
      <c r="AK64" s="572"/>
      <c r="AL64" s="572"/>
      <c r="AM64" s="572"/>
    </row>
  </sheetData>
  <sheetProtection autoFilter="0" deleteColumns="0" deleteRows="0" formatCells="1" formatColumns="0" formatRows="0"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9500B0-0067-4C81-8434-00D1000000D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390004-00F3-4F62-9463-00C200A10099}"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F6002B-00EE-446F-8C86-002A00110051}"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C800A7-00AF-4561-9633-00FF00D300FF}"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min="16" max="16" style="60" width="3.7109375"/>
    <col customWidth="1" min="17" max="18" style="477" width="3.7109375"/>
    <col customWidth="1" min="19" max="19" style="322" width="12.7109375"/>
    <col customWidth="1" min="20" max="20" style="50" width="32.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7109375"/>
    <col customWidth="1" min="34" max="34" style="50" width="11.7109375"/>
    <col customWidth="1" min="35" max="35" style="50" width="3.7109375"/>
    <col customWidth="1" min="36" max="36" style="50" width="11.7109375"/>
    <col customWidth="1" hidden="1" min="37" max="37" style="50" width="8.57421875"/>
    <col customWidth="1" min="38" max="38" style="50" width="4.7109375"/>
    <col customWidth="1" min="39" max="39" style="50" width="115.7109375"/>
    <col min="40" max="41" style="57" width="10.57421875"/>
    <col customWidth="1" min="42" max="42" style="57" width="11.140625"/>
    <col min="43" max="44" style="57" width="10.57421875"/>
  </cols>
  <sheetData>
    <row r="1" ht="14.25" hidden="1" customHeight="1">
      <c r="Y1" s="50"/>
      <c r="Z1" s="50"/>
      <c r="AG1" s="50"/>
      <c r="AH1" s="50"/>
    </row>
    <row r="2" ht="21"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7"/>
      <c r="AC2" s="488"/>
      <c r="AD2" s="486" t="e">
        <f>INDEX(PT_DIFFERENTIATION_NTAR,MATCH(A2,PT_DIFFERENTIATION_NTAR_ID,0))</f>
        <v>#VALUE!</v>
      </c>
      <c r="AE2" s="487"/>
      <c r="AF2" s="487"/>
      <c r="AG2" s="487"/>
      <c r="AH2" s="487"/>
      <c r="AI2" s="487"/>
      <c r="AJ2" s="487"/>
      <c r="AK2" s="487"/>
      <c r="AL2" s="488"/>
      <c r="AM2" s="489" t="s">
        <v>386</v>
      </c>
      <c r="AO2" s="128"/>
      <c r="AP2" s="128" t="str">
        <f t="shared" ref="AP2:AP9" si="5">IF(T2="","",T2)</f>
        <v xml:space="preserve">Наименование тарифа</v>
      </c>
      <c r="AQ2" s="128"/>
      <c r="AR2" s="128"/>
    </row>
    <row r="3" ht="21"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7"/>
      <c r="AC3" s="488"/>
      <c r="AD3" s="486" t="e">
        <f>INDEX(PT_DIFFERENTIATION_TER,MATCH(B3,PT_DIFFERENTIATION_TER_ID,0))</f>
        <v>#VALUE!</v>
      </c>
      <c r="AE3" s="487"/>
      <c r="AF3" s="487"/>
      <c r="AG3" s="487"/>
      <c r="AH3" s="487"/>
      <c r="AI3" s="487"/>
      <c r="AJ3" s="487"/>
      <c r="AK3" s="487"/>
      <c r="AL3" s="488"/>
      <c r="AM3" s="489" t="s">
        <v>388</v>
      </c>
      <c r="AO3" s="128"/>
      <c r="AP3" s="128" t="str">
        <f t="shared" si="5"/>
        <v xml:space="preserve">Территория действия тарифа</v>
      </c>
      <c r="AQ3" s="128"/>
      <c r="AR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389</v>
      </c>
      <c r="U4" s="485"/>
      <c r="V4" s="486"/>
      <c r="W4" s="487"/>
      <c r="X4" s="487"/>
      <c r="Y4" s="487"/>
      <c r="Z4" s="487"/>
      <c r="AA4" s="487"/>
      <c r="AB4" s="487"/>
      <c r="AC4" s="488"/>
      <c r="AD4" s="486" t="e">
        <f>INDEX(PT_DIFFERENTIATION_CS,MATCH(C4,PT_DIFFERENTIATION_CS_ID,0))</f>
        <v>#VALUE!</v>
      </c>
      <c r="AE4" s="487"/>
      <c r="AF4" s="487"/>
      <c r="AG4" s="487"/>
      <c r="AH4" s="487"/>
      <c r="AI4" s="487"/>
      <c r="AJ4" s="487"/>
      <c r="AK4" s="487"/>
      <c r="AL4" s="488"/>
      <c r="AM4" s="489" t="s">
        <v>390</v>
      </c>
      <c r="AO4" s="128"/>
      <c r="AP4" s="128" t="str">
        <f t="shared" si="5"/>
        <v xml:space="preserve">Наименование системы теплоснабжения</v>
      </c>
      <c r="AQ4" s="128"/>
      <c r="AR4" s="128"/>
    </row>
    <row r="5" ht="21" hidden="1" customHeight="1">
      <c r="A5" s="478"/>
      <c r="B5" s="478"/>
      <c r="C5" s="478"/>
      <c r="D5" s="478"/>
      <c r="E5" s="490"/>
      <c r="F5" s="490"/>
      <c r="G5" s="490"/>
      <c r="H5" s="479">
        <v>1</v>
      </c>
      <c r="I5" s="478"/>
      <c r="J5" s="478"/>
      <c r="K5" s="478"/>
      <c r="L5" s="480"/>
      <c r="M5" s="481"/>
      <c r="N5" s="481"/>
      <c r="O5" s="481"/>
      <c r="P5" s="494"/>
      <c r="Q5" s="491"/>
      <c r="R5" s="492"/>
      <c r="S5" s="483" t="e">
        <f>INDEX(PT_DIFFERENTIATION_NUM_IST_TE,MATCH(D5,PT_DIFFERENTIATION_IST_TE_ID,0))</f>
        <v>#VALUE!</v>
      </c>
      <c r="T5" s="496" t="s">
        <v>391</v>
      </c>
      <c r="U5" s="485"/>
      <c r="V5" s="486"/>
      <c r="W5" s="487"/>
      <c r="X5" s="487"/>
      <c r="Y5" s="487"/>
      <c r="Z5" s="487"/>
      <c r="AA5" s="487"/>
      <c r="AB5" s="487"/>
      <c r="AC5" s="488"/>
      <c r="AD5" s="486" t="e">
        <f>INDEX(PT_DIFFERENTIATION_IST_TE,MATCH(D5,PT_DIFFERENTIATION_IST_TE_ID,0))</f>
        <v>#VALUE!</v>
      </c>
      <c r="AE5" s="487"/>
      <c r="AF5" s="487"/>
      <c r="AG5" s="487"/>
      <c r="AH5" s="487"/>
      <c r="AI5" s="487"/>
      <c r="AJ5" s="487"/>
      <c r="AK5" s="487"/>
      <c r="AL5" s="488"/>
      <c r="AM5" s="489" t="s">
        <v>392</v>
      </c>
      <c r="AO5" s="128"/>
      <c r="AP5" s="128" t="str">
        <f t="shared" si="5"/>
        <v xml:space="preserve">Источник тепловой энергии</v>
      </c>
      <c r="AQ5" s="128"/>
      <c r="AR5" s="128"/>
    </row>
    <row r="6" ht="47.25" hidden="1" customHeight="1">
      <c r="A6" s="478"/>
      <c r="B6" s="478"/>
      <c r="C6" s="478"/>
      <c r="D6" s="478"/>
      <c r="E6" s="490"/>
      <c r="F6" s="490"/>
      <c r="G6" s="490"/>
      <c r="H6" s="490"/>
      <c r="I6" s="167" t="e">
        <f>S5&amp;".1"</f>
        <v>#VALUE!</v>
      </c>
      <c r="J6" s="478"/>
      <c r="K6" s="478"/>
      <c r="L6" s="480" t="s">
        <v>393</v>
      </c>
      <c r="M6" s="53"/>
      <c r="P6" s="131">
        <v>1</v>
      </c>
      <c r="Q6" s="131"/>
      <c r="R6" s="497"/>
      <c r="S6" s="483" t="e">
        <f>$I6</f>
        <v>#VALUE!</v>
      </c>
      <c r="T6" s="498" t="s">
        <v>394</v>
      </c>
      <c r="U6" s="485"/>
      <c r="V6" s="430"/>
      <c r="W6" s="499"/>
      <c r="X6" s="499"/>
      <c r="Y6" s="499"/>
      <c r="Z6" s="499"/>
      <c r="AA6" s="499"/>
      <c r="AB6" s="499"/>
      <c r="AC6" s="500"/>
      <c r="AD6" s="430"/>
      <c r="AE6" s="499"/>
      <c r="AF6" s="499"/>
      <c r="AG6" s="499"/>
      <c r="AH6" s="499"/>
      <c r="AI6" s="499"/>
      <c r="AJ6" s="499"/>
      <c r="AK6" s="499"/>
      <c r="AL6" s="500"/>
      <c r="AM6" s="489" t="s">
        <v>395</v>
      </c>
      <c r="AO6" s="128"/>
      <c r="AP6" s="128" t="str">
        <f t="shared" si="5"/>
        <v xml:space="preserve">Схема подключения теплопотребляющей установки к коллектору источника тепловой энергии</v>
      </c>
      <c r="AQ6" s="128"/>
      <c r="AR6" s="128"/>
    </row>
    <row r="7" ht="21" hidden="1" customHeight="1">
      <c r="A7" s="478"/>
      <c r="B7" s="478"/>
      <c r="C7" s="478"/>
      <c r="D7" s="478"/>
      <c r="E7" s="490"/>
      <c r="F7" s="490"/>
      <c r="G7" s="490"/>
      <c r="H7" s="490"/>
      <c r="I7" s="501"/>
      <c r="J7" s="167" t="e">
        <f>I6&amp;".1"</f>
        <v>#VALUE!</v>
      </c>
      <c r="K7" s="478"/>
      <c r="L7" s="480" t="s">
        <v>396</v>
      </c>
      <c r="M7" s="53"/>
      <c r="N7" s="53"/>
      <c r="P7" s="131"/>
      <c r="Q7" s="131">
        <v>1</v>
      </c>
      <c r="R7" s="502"/>
      <c r="S7" s="483" t="e">
        <f>$J7</f>
        <v>#VALUE!</v>
      </c>
      <c r="T7" s="503" t="s">
        <v>397</v>
      </c>
      <c r="U7" s="485"/>
      <c r="V7" s="430"/>
      <c r="W7" s="499"/>
      <c r="X7" s="499"/>
      <c r="Y7" s="499"/>
      <c r="Z7" s="499"/>
      <c r="AA7" s="499"/>
      <c r="AB7" s="499"/>
      <c r="AC7" s="500"/>
      <c r="AD7" s="430"/>
      <c r="AE7" s="499"/>
      <c r="AF7" s="499"/>
      <c r="AG7" s="499"/>
      <c r="AH7" s="499"/>
      <c r="AI7" s="499"/>
      <c r="AJ7" s="499"/>
      <c r="AK7" s="499"/>
      <c r="AL7" s="500"/>
      <c r="AM7" s="489" t="s">
        <v>398</v>
      </c>
      <c r="AO7" s="128"/>
      <c r="AP7" s="128" t="str">
        <f t="shared" si="5"/>
        <v xml:space="preserve">Группа потребителей</v>
      </c>
      <c r="AQ7" s="128"/>
      <c r="AR7" s="128"/>
    </row>
    <row r="8" ht="21" hidden="1" customHeight="1">
      <c r="A8" s="478"/>
      <c r="B8" s="478"/>
      <c r="C8" s="478"/>
      <c r="D8" s="478"/>
      <c r="E8" s="490"/>
      <c r="F8" s="490"/>
      <c r="G8" s="490"/>
      <c r="H8" s="490"/>
      <c r="I8" s="501"/>
      <c r="J8" s="501"/>
      <c r="K8" s="167" t="e">
        <f>J7&amp;".1"</f>
        <v>#VALUE!</v>
      </c>
      <c r="L8" s="480" t="s">
        <v>399</v>
      </c>
      <c r="M8" s="53"/>
      <c r="N8" s="53"/>
      <c r="O8" s="53"/>
      <c r="P8" s="131"/>
      <c r="Q8" s="131"/>
      <c r="R8" s="502">
        <v>1</v>
      </c>
      <c r="S8" s="483" t="e">
        <f>$K8</f>
        <v>#VALUE!</v>
      </c>
      <c r="T8" s="504"/>
      <c r="U8" s="485"/>
      <c r="V8" s="505"/>
      <c r="W8" s="506"/>
      <c r="X8" s="505"/>
      <c r="Y8" s="507"/>
      <c r="Z8" s="508"/>
      <c r="AA8" s="225" t="s">
        <v>56</v>
      </c>
      <c r="AB8" s="508"/>
      <c r="AC8" s="225" t="s">
        <v>56</v>
      </c>
      <c r="AD8" s="505"/>
      <c r="AE8" s="506"/>
      <c r="AF8" s="505"/>
      <c r="AG8" s="507"/>
      <c r="AH8" s="508"/>
      <c r="AI8" s="225" t="s">
        <v>56</v>
      </c>
      <c r="AJ8" s="508"/>
      <c r="AK8" s="225" t="s">
        <v>56</v>
      </c>
      <c r="AL8" s="506"/>
      <c r="AM8" s="509" t="s">
        <v>400</v>
      </c>
      <c r="AN8" s="57" t="e">
        <f>STRCHECKDATE(V9:AL9)</f>
        <v>#NAME?</v>
      </c>
      <c r="AO8" s="128"/>
      <c r="AP8" s="128" t="str">
        <f t="shared" si="5"/>
        <v/>
      </c>
      <c r="AQ8" s="128"/>
      <c r="AR8" s="128"/>
    </row>
    <row r="9" ht="0.75" hidden="1" customHeight="1">
      <c r="A9" s="478"/>
      <c r="B9" s="478"/>
      <c r="C9" s="478"/>
      <c r="D9" s="478"/>
      <c r="E9" s="490"/>
      <c r="F9" s="490"/>
      <c r="G9" s="490"/>
      <c r="H9" s="490"/>
      <c r="I9" s="501"/>
      <c r="J9" s="501"/>
      <c r="K9" s="167"/>
      <c r="L9" s="480"/>
      <c r="M9" s="53"/>
      <c r="N9" s="53"/>
      <c r="O9" s="53"/>
      <c r="P9" s="131"/>
      <c r="Q9" s="131"/>
      <c r="R9" s="502"/>
      <c r="S9" s="457"/>
      <c r="T9" s="485"/>
      <c r="U9" s="485"/>
      <c r="V9" s="506"/>
      <c r="W9" s="506"/>
      <c r="X9" s="506"/>
      <c r="Y9" s="510" t="str">
        <f>Z8&amp;"-"&amp;AB8</f>
        <v>-</v>
      </c>
      <c r="Z9" s="511"/>
      <c r="AA9" s="225"/>
      <c r="AB9" s="511"/>
      <c r="AC9" s="225"/>
      <c r="AD9" s="506"/>
      <c r="AE9" s="506"/>
      <c r="AF9" s="506"/>
      <c r="AG9" s="510" t="str">
        <f>AH8&amp;"-"&amp;AJ8</f>
        <v>-</v>
      </c>
      <c r="AH9" s="511"/>
      <c r="AI9" s="225"/>
      <c r="AJ9" s="511"/>
      <c r="AK9" s="225"/>
      <c r="AL9" s="506"/>
      <c r="AM9" s="512"/>
      <c r="AO9" s="128"/>
      <c r="AP9" s="128" t="str">
        <f t="shared" si="5"/>
        <v/>
      </c>
      <c r="AQ9" s="128"/>
      <c r="AR9" s="128"/>
    </row>
    <row r="10" ht="15" hidden="1" customHeight="1">
      <c r="A10" s="478"/>
      <c r="B10" s="478"/>
      <c r="C10" s="478"/>
      <c r="D10" s="478"/>
      <c r="E10" s="490"/>
      <c r="F10" s="490"/>
      <c r="G10" s="490"/>
      <c r="H10" s="490"/>
      <c r="I10" s="501"/>
      <c r="J10" s="167"/>
      <c r="K10" s="478"/>
      <c r="L10" s="480"/>
      <c r="M10" s="53"/>
      <c r="N10" s="53"/>
      <c r="P10" s="131"/>
      <c r="Q10" s="131"/>
      <c r="R10" s="497"/>
      <c r="S10" s="513"/>
      <c r="T10" s="514" t="s">
        <v>401</v>
      </c>
      <c r="U10" s="215"/>
      <c r="V10" s="215"/>
      <c r="W10" s="215"/>
      <c r="X10" s="215"/>
      <c r="Y10" s="215"/>
      <c r="Z10" s="215"/>
      <c r="AA10" s="215"/>
      <c r="AB10" s="215"/>
      <c r="AC10" s="215"/>
      <c r="AD10" s="215"/>
      <c r="AE10" s="215"/>
      <c r="AF10" s="215"/>
      <c r="AG10" s="215"/>
      <c r="AH10" s="215"/>
      <c r="AI10" s="215"/>
      <c r="AJ10" s="215"/>
      <c r="AK10" s="215"/>
      <c r="AL10" s="515"/>
      <c r="AM10" s="516"/>
      <c r="AO10" s="128"/>
      <c r="AP10" s="128" t="str">
        <f t="shared" ref="AP10:AP57" si="6">IF(T10="","",T10)</f>
        <v xml:space="preserve">Добавить вид теплоносителя (параметры теплоносителя)</v>
      </c>
      <c r="AQ10" s="128"/>
      <c r="AR10" s="128"/>
    </row>
    <row r="11" ht="15" hidden="1" customHeight="1">
      <c r="A11" s="478"/>
      <c r="B11" s="478"/>
      <c r="C11" s="478"/>
      <c r="D11" s="478"/>
      <c r="E11" s="490"/>
      <c r="F11" s="490"/>
      <c r="G11" s="490"/>
      <c r="H11" s="490"/>
      <c r="I11" s="167"/>
      <c r="J11" s="478"/>
      <c r="K11" s="478"/>
      <c r="L11" s="480"/>
      <c r="M11" s="53"/>
      <c r="P11" s="131"/>
      <c r="Q11" s="131"/>
      <c r="R11" s="497"/>
      <c r="S11" s="513"/>
      <c r="T11" s="517" t="s">
        <v>402</v>
      </c>
      <c r="U11" s="215"/>
      <c r="V11" s="215"/>
      <c r="W11" s="215"/>
      <c r="X11" s="215"/>
      <c r="Y11" s="215"/>
      <c r="Z11" s="215"/>
      <c r="AA11" s="215"/>
      <c r="AB11" s="215"/>
      <c r="AC11" s="518"/>
      <c r="AD11" s="215"/>
      <c r="AE11" s="215"/>
      <c r="AF11" s="215"/>
      <c r="AG11" s="215"/>
      <c r="AH11" s="215"/>
      <c r="AI11" s="215"/>
      <c r="AJ11" s="215"/>
      <c r="AK11" s="518"/>
      <c r="AL11" s="215"/>
      <c r="AM11" s="519"/>
      <c r="AO11" s="128"/>
      <c r="AP11" s="128" t="str">
        <f t="shared" si="6"/>
        <v xml:space="preserve">Добавить группу потребителей</v>
      </c>
      <c r="AQ11" s="128"/>
      <c r="AR11" s="128"/>
    </row>
    <row r="12" ht="14.25" hidden="1" customHeight="1">
      <c r="A12" s="478"/>
      <c r="B12" s="478"/>
      <c r="C12" s="478"/>
      <c r="D12" s="478"/>
      <c r="E12" s="490"/>
      <c r="F12" s="490"/>
      <c r="G12" s="490"/>
      <c r="H12" s="479"/>
      <c r="I12" s="478"/>
      <c r="J12" s="478"/>
      <c r="K12" s="478"/>
      <c r="L12" s="480"/>
      <c r="M12" s="481"/>
      <c r="N12" s="481"/>
      <c r="O12" s="53"/>
      <c r="P12" s="142"/>
      <c r="Q12" s="520"/>
      <c r="R12" s="482"/>
      <c r="S12" s="513"/>
      <c r="T12" s="521" t="s">
        <v>403</v>
      </c>
      <c r="U12" s="215"/>
      <c r="V12" s="215"/>
      <c r="W12" s="215"/>
      <c r="X12" s="215"/>
      <c r="Y12" s="215"/>
      <c r="Z12" s="215"/>
      <c r="AA12" s="215"/>
      <c r="AB12" s="215"/>
      <c r="AC12" s="518"/>
      <c r="AD12" s="215"/>
      <c r="AE12" s="215"/>
      <c r="AF12" s="215"/>
      <c r="AG12" s="215"/>
      <c r="AH12" s="215"/>
      <c r="AI12" s="215"/>
      <c r="AJ12" s="215"/>
      <c r="AK12" s="518"/>
      <c r="AL12" s="215"/>
      <c r="AM12" s="519"/>
      <c r="AO12" s="128"/>
      <c r="AP12" s="128" t="str">
        <f t="shared" si="6"/>
        <v xml:space="preserve">Добавить схему подключения</v>
      </c>
      <c r="AQ12" s="128"/>
      <c r="AR12" s="128"/>
    </row>
    <row r="13" s="57" customFormat="1" ht="0.75" hidden="1" customHeight="1">
      <c r="A13" s="132"/>
      <c r="B13" s="132"/>
      <c r="C13" s="132"/>
      <c r="D13" s="132"/>
      <c r="E13" s="490"/>
      <c r="F13" s="490"/>
      <c r="G13" s="479"/>
      <c r="H13" s="132"/>
      <c r="I13" s="132"/>
      <c r="J13" s="132"/>
      <c r="K13" s="132"/>
      <c r="L13" s="213"/>
      <c r="M13" s="463"/>
      <c r="N13" s="463"/>
      <c r="P13" s="166"/>
      <c r="Q13" s="522"/>
      <c r="R13" s="166"/>
      <c r="S13" s="523"/>
      <c r="T13" s="524" t="s">
        <v>404</v>
      </c>
      <c r="U13" s="525"/>
      <c r="V13" s="525"/>
      <c r="W13" s="525"/>
      <c r="X13" s="525"/>
      <c r="Y13" s="525"/>
      <c r="Z13" s="525"/>
      <c r="AA13" s="525"/>
      <c r="AB13" s="525"/>
      <c r="AC13" s="525"/>
      <c r="AD13" s="525"/>
      <c r="AE13" s="525"/>
      <c r="AF13" s="525"/>
      <c r="AG13" s="525"/>
      <c r="AH13" s="525"/>
      <c r="AI13" s="525"/>
      <c r="AJ13" s="525"/>
      <c r="AK13" s="525"/>
      <c r="AL13" s="525"/>
      <c r="AM13" s="525"/>
      <c r="AO13" s="128"/>
      <c r="AP13" s="128" t="str">
        <f t="shared" si="6"/>
        <v xml:space="preserve">Добавить источник для дифференциации</v>
      </c>
      <c r="AQ13" s="128"/>
      <c r="AR13" s="128"/>
    </row>
    <row r="14" s="57" customFormat="1" ht="0.75" hidden="1" customHeight="1">
      <c r="A14" s="132"/>
      <c r="B14" s="132"/>
      <c r="C14" s="132"/>
      <c r="D14" s="132"/>
      <c r="E14" s="490"/>
      <c r="F14" s="479"/>
      <c r="G14" s="132"/>
      <c r="H14" s="132"/>
      <c r="I14" s="132"/>
      <c r="J14" s="132"/>
      <c r="K14" s="132"/>
      <c r="L14" s="213"/>
      <c r="M14" s="526"/>
      <c r="N14" s="526"/>
      <c r="P14" s="166"/>
      <c r="Q14" s="522"/>
      <c r="R14" s="166"/>
      <c r="S14" s="527"/>
      <c r="T14" s="528" t="s">
        <v>405</v>
      </c>
      <c r="U14" s="529"/>
      <c r="V14" s="529"/>
      <c r="W14" s="529"/>
      <c r="X14" s="529"/>
      <c r="Y14" s="529"/>
      <c r="Z14" s="529"/>
      <c r="AA14" s="529"/>
      <c r="AB14" s="529"/>
      <c r="AC14" s="529"/>
      <c r="AD14" s="529"/>
      <c r="AE14" s="529"/>
      <c r="AF14" s="529"/>
      <c r="AG14" s="529"/>
      <c r="AH14" s="529"/>
      <c r="AI14" s="529"/>
      <c r="AJ14" s="529"/>
      <c r="AK14" s="529"/>
      <c r="AL14" s="529"/>
      <c r="AM14" s="529"/>
      <c r="AO14" s="128"/>
      <c r="AP14" s="128" t="str">
        <f t="shared" si="6"/>
        <v xml:space="preserve">Добавить централизованную систему для дифференциации</v>
      </c>
      <c r="AQ14" s="128"/>
      <c r="AR14" s="128"/>
    </row>
    <row r="15" s="57" customFormat="1" ht="0.75" hidden="1" customHeight="1">
      <c r="A15" s="132"/>
      <c r="B15" s="132"/>
      <c r="C15" s="132"/>
      <c r="D15" s="132"/>
      <c r="E15" s="479"/>
      <c r="F15" s="132"/>
      <c r="G15" s="132"/>
      <c r="H15" s="132"/>
      <c r="I15" s="132"/>
      <c r="J15" s="132"/>
      <c r="K15" s="132"/>
      <c r="L15" s="213"/>
      <c r="M15" s="526"/>
      <c r="N15" s="526"/>
      <c r="P15" s="166"/>
      <c r="Q15" s="522"/>
      <c r="R15" s="166"/>
      <c r="S15" s="527"/>
      <c r="T15" s="530" t="s">
        <v>406</v>
      </c>
      <c r="U15" s="529"/>
      <c r="V15" s="529"/>
      <c r="W15" s="529"/>
      <c r="X15" s="529"/>
      <c r="Y15" s="529"/>
      <c r="Z15" s="529"/>
      <c r="AA15" s="529"/>
      <c r="AB15" s="529"/>
      <c r="AC15" s="529"/>
      <c r="AD15" s="529"/>
      <c r="AE15" s="529"/>
      <c r="AF15" s="529"/>
      <c r="AG15" s="529"/>
      <c r="AH15" s="529"/>
      <c r="AI15" s="529"/>
      <c r="AJ15" s="529"/>
      <c r="AK15" s="529"/>
      <c r="AL15" s="529"/>
      <c r="AM15" s="529"/>
      <c r="AO15" s="128"/>
      <c r="AP15" s="128" t="str">
        <f t="shared" si="6"/>
        <v xml:space="preserve">Добавить территорию для дифференциации</v>
      </c>
      <c r="AQ15" s="128"/>
      <c r="AR15" s="128"/>
    </row>
    <row r="16" ht="14.25" hidden="1" customHeight="1">
      <c r="AC16" s="50"/>
      <c r="AK16" s="50"/>
    </row>
    <row r="17" ht="14.25" hidden="1" customHeight="1">
      <c r="AD17" s="531"/>
      <c r="AE17" s="531"/>
      <c r="AF17" s="531"/>
      <c r="AG17" s="532"/>
      <c r="AH17" s="533"/>
      <c r="AI17" s="534" t="s">
        <v>56</v>
      </c>
      <c r="AJ17" s="533"/>
      <c r="AK17" s="534" t="s">
        <v>56</v>
      </c>
    </row>
    <row r="18" ht="14.25" hidden="1" customHeight="1">
      <c r="AD18" s="531"/>
      <c r="AE18" s="531"/>
      <c r="AF18" s="531"/>
      <c r="AG18" s="510" t="str">
        <f>AH17&amp;"-"&amp;AJ17</f>
        <v>-</v>
      </c>
      <c r="AH18" s="534"/>
      <c r="AI18" s="534"/>
      <c r="AJ18" s="534"/>
      <c r="AK18" s="534"/>
    </row>
    <row r="19" ht="14.25" hidden="1" customHeight="1">
      <c r="AK19" s="50"/>
    </row>
    <row r="20" s="53" customFormat="1" ht="22.5" hidden="1" customHeight="1">
      <c r="L20" s="113"/>
      <c r="M20" s="61"/>
      <c r="N20" s="61"/>
      <c r="O20" s="535" t="s">
        <v>407</v>
      </c>
      <c r="P20" s="61"/>
      <c r="Q20" s="536"/>
      <c r="R20" s="536"/>
      <c r="S20" s="481"/>
      <c r="Z20" s="535"/>
      <c r="AB20" s="535"/>
      <c r="AC20" s="53"/>
      <c r="AH20" s="535"/>
      <c r="AJ20" s="535"/>
      <c r="AK20" s="53"/>
      <c r="AN20" s="57"/>
      <c r="AO20" s="57"/>
      <c r="AP20" s="57"/>
      <c r="AQ20" s="57"/>
      <c r="AR20" s="57"/>
    </row>
    <row r="21" s="53" customFormat="1" ht="14.25" hidden="1" customHeight="1">
      <c r="L21" s="113"/>
      <c r="M21" s="61"/>
      <c r="N21" s="61"/>
      <c r="O21" s="61"/>
      <c r="P21" s="61"/>
      <c r="Q21" s="536"/>
      <c r="R21" s="536"/>
      <c r="S21" s="481"/>
      <c r="AC21" s="53"/>
      <c r="AK21" s="53"/>
      <c r="AN21" s="57"/>
      <c r="AO21" s="57"/>
      <c r="AP21" s="57"/>
      <c r="AQ21" s="57"/>
      <c r="AR21" s="57"/>
    </row>
    <row r="22" s="53" customFormat="1" ht="14.25" hidden="1" customHeight="1">
      <c r="L22" s="113"/>
      <c r="M22" s="61"/>
      <c r="N22" s="61"/>
      <c r="O22" s="480" t="s">
        <v>408</v>
      </c>
      <c r="P22" s="61"/>
      <c r="Q22" s="536"/>
      <c r="R22" s="536"/>
      <c r="S22" s="481"/>
      <c r="T22" s="53" t="s">
        <v>409</v>
      </c>
      <c r="AA22" s="150" t="s">
        <v>410</v>
      </c>
      <c r="AC22" s="150" t="s">
        <v>411</v>
      </c>
      <c r="AD22" s="53" t="s">
        <v>409</v>
      </c>
      <c r="AI22" s="150" t="s">
        <v>412</v>
      </c>
      <c r="AK22" s="150" t="s">
        <v>411</v>
      </c>
      <c r="AN22" s="57"/>
      <c r="AO22" s="57"/>
      <c r="AP22" s="57"/>
      <c r="AQ22" s="57"/>
      <c r="AR22" s="57"/>
    </row>
    <row r="23" ht="14.25" hidden="1" customHeight="1">
      <c r="O23" s="480"/>
    </row>
    <row r="24" ht="14.25" hidden="1" customHeight="1">
      <c r="O24" s="480"/>
    </row>
    <row r="25" ht="14.25" customHeight="1">
      <c r="Q25" s="537"/>
      <c r="R25" s="537"/>
      <c r="S25" s="538"/>
      <c r="T25" s="89"/>
      <c r="U25" s="89"/>
      <c r="V25" s="50"/>
      <c r="W25" s="50"/>
      <c r="X25" s="50"/>
      <c r="Y25" s="50"/>
      <c r="Z25" s="50"/>
      <c r="AA25" s="50"/>
      <c r="AB25" s="50"/>
      <c r="AC25" s="50"/>
      <c r="AD25" s="50"/>
      <c r="AE25" s="50"/>
      <c r="AF25" s="50"/>
      <c r="AG25" s="50"/>
      <c r="AH25" s="50"/>
      <c r="AI25" s="50"/>
      <c r="AJ25" s="50"/>
      <c r="AK25" s="50"/>
    </row>
    <row r="26" ht="14.25" customHeight="1">
      <c r="Q26" s="537"/>
      <c r="R26" s="537"/>
      <c r="S26" s="45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51"/>
      <c r="U26" s="451"/>
      <c r="V26" s="451"/>
      <c r="W26" s="451"/>
      <c r="X26" s="451"/>
      <c r="Y26" s="451"/>
      <c r="Z26" s="451"/>
      <c r="AA26" s="451"/>
      <c r="AB26" s="451"/>
      <c r="AC26" s="451"/>
      <c r="AD26" s="451"/>
      <c r="AE26" s="451"/>
      <c r="AF26" s="451"/>
      <c r="AG26" s="451"/>
      <c r="AH26" s="451"/>
      <c r="AI26" s="451"/>
      <c r="AJ26" s="451"/>
      <c r="AK26" s="241"/>
    </row>
    <row r="27" ht="14.25" customHeight="1">
      <c r="Q27" s="537"/>
      <c r="R27" s="537"/>
      <c r="S27" s="302" t="str">
        <f>IF(org=0,"Не определено",org)</f>
        <v xml:space="preserve">филиал ПАО "ОГК-2" - Адлерская ТЭС</v>
      </c>
      <c r="T27" s="302"/>
      <c r="U27" s="302"/>
      <c r="V27" s="302"/>
      <c r="W27" s="302"/>
      <c r="X27" s="302"/>
      <c r="Y27" s="302"/>
      <c r="Z27" s="302"/>
      <c r="AA27" s="302"/>
      <c r="AB27" s="302"/>
      <c r="AC27" s="302"/>
      <c r="AD27" s="302"/>
      <c r="AE27" s="302"/>
      <c r="AF27" s="302"/>
      <c r="AG27" s="302"/>
      <c r="AH27" s="302"/>
      <c r="AI27" s="302"/>
      <c r="AJ27" s="302"/>
      <c r="AK27" s="241"/>
    </row>
    <row r="28" ht="14.25" hidden="1" customHeight="1">
      <c r="Q28" s="537"/>
      <c r="R28" s="537"/>
      <c r="S28" s="538"/>
      <c r="T28" s="89"/>
      <c r="U28" s="89"/>
      <c r="V28" s="539"/>
      <c r="W28" s="539"/>
      <c r="X28" s="539"/>
      <c r="Y28" s="539"/>
      <c r="Z28" s="539"/>
      <c r="AA28" s="539"/>
      <c r="AB28" s="539"/>
      <c r="AC28" s="539"/>
      <c r="AD28" s="539"/>
      <c r="AE28" s="539"/>
      <c r="AF28" s="539"/>
      <c r="AG28" s="539"/>
      <c r="AH28" s="539"/>
      <c r="AI28" s="539"/>
      <c r="AJ28" s="539"/>
      <c r="AK28" s="539"/>
      <c r="AL28" s="50"/>
    </row>
    <row r="29" s="185" customFormat="1" ht="25.5" hidden="1" customHeight="1">
      <c r="A29" s="150"/>
      <c r="B29" s="150"/>
      <c r="C29" s="150"/>
      <c r="D29" s="150"/>
      <c r="E29" s="150"/>
      <c r="F29" s="150"/>
      <c r="G29" s="150"/>
      <c r="H29" s="150"/>
      <c r="I29" s="150"/>
      <c r="J29" s="150"/>
      <c r="K29" s="150"/>
      <c r="L29" s="480"/>
      <c r="M29" s="150"/>
      <c r="N29" s="150"/>
      <c r="O29" s="150"/>
      <c r="S29" s="540" t="s">
        <v>38</v>
      </c>
      <c r="T29" s="540"/>
      <c r="U29" s="541"/>
      <c r="V29" s="542" t="str">
        <f>IF(TITLE_NAME_OR_PR_CHANGE="",IF(TITLE_NAME_OR_PR="","",TITLE_NAME_OR_PR),TITLE_NAME_OR_PR_CHANGE)</f>
        <v/>
      </c>
      <c r="W29" s="542"/>
      <c r="X29" s="542"/>
      <c r="Y29" s="542"/>
      <c r="Z29" s="542"/>
      <c r="AA29" s="542"/>
      <c r="AB29" s="542"/>
      <c r="AC29" s="50"/>
      <c r="AD29" s="542" t="str">
        <f>IF(TITLE_NAME_OR_PR_CHANGE="",IF(TITLE_NAME_OR_PR="","",TITLE_NAME_OR_PR),TITLE_NAME_OR_PR_CHANGE)</f>
        <v/>
      </c>
      <c r="AE29" s="542"/>
      <c r="AF29" s="542"/>
      <c r="AG29" s="542"/>
      <c r="AH29" s="542"/>
      <c r="AI29" s="542"/>
      <c r="AJ29" s="542"/>
      <c r="AK29" s="50"/>
      <c r="AL29" s="50"/>
      <c r="AM29" s="543"/>
      <c r="AN29" s="128"/>
      <c r="AO29" s="128"/>
      <c r="AP29" s="128"/>
      <c r="AQ29" s="128"/>
      <c r="AR29" s="128"/>
    </row>
    <row r="30" s="185" customFormat="1" ht="18.75" hidden="1" customHeight="1">
      <c r="A30" s="150"/>
      <c r="B30" s="150"/>
      <c r="C30" s="150"/>
      <c r="D30" s="150"/>
      <c r="E30" s="150"/>
      <c r="F30" s="150"/>
      <c r="G30" s="150"/>
      <c r="H30" s="150"/>
      <c r="I30" s="150"/>
      <c r="J30" s="150"/>
      <c r="K30" s="150"/>
      <c r="L30" s="480"/>
      <c r="M30" s="150"/>
      <c r="N30" s="150"/>
      <c r="O30" s="150"/>
      <c r="S30" s="540" t="s">
        <v>413</v>
      </c>
      <c r="T30" s="540"/>
      <c r="U30" s="541"/>
      <c r="V30" s="544" t="str">
        <f>IF(TITLE_DATE_PR_CHANGE="",IF(TITLE_DATE_PR="","",TITLE_DATE_PR),TITLE_DATE_PR_CHANGE)</f>
        <v/>
      </c>
      <c r="W30" s="544"/>
      <c r="X30" s="544"/>
      <c r="Y30" s="544"/>
      <c r="Z30" s="544"/>
      <c r="AA30" s="544"/>
      <c r="AB30" s="544"/>
      <c r="AC30" s="50"/>
      <c r="AD30" s="544" t="str">
        <f>IF(TITLE_DATE_PR_CHANGE="",IF(TITLE_DATE_PR="","",TITLE_DATE_PR),TITLE_DATE_PR_CHANGE)</f>
        <v/>
      </c>
      <c r="AE30" s="544"/>
      <c r="AF30" s="544"/>
      <c r="AG30" s="544"/>
      <c r="AH30" s="544"/>
      <c r="AI30" s="544"/>
      <c r="AJ30" s="544"/>
      <c r="AK30" s="50"/>
      <c r="AL30" s="50"/>
      <c r="AM30" s="543"/>
      <c r="AN30" s="128"/>
      <c r="AO30" s="128"/>
      <c r="AP30" s="128"/>
      <c r="AQ30" s="128"/>
      <c r="AR30" s="128"/>
    </row>
    <row r="31" s="185" customFormat="1" ht="18.75" hidden="1" customHeight="1">
      <c r="A31" s="150"/>
      <c r="B31" s="150"/>
      <c r="C31" s="150"/>
      <c r="D31" s="150"/>
      <c r="E31" s="150"/>
      <c r="F31" s="150"/>
      <c r="G31" s="150"/>
      <c r="H31" s="150"/>
      <c r="I31" s="150"/>
      <c r="J31" s="150"/>
      <c r="K31" s="150"/>
      <c r="L31" s="480"/>
      <c r="M31" s="150"/>
      <c r="N31" s="150"/>
      <c r="O31" s="150"/>
      <c r="S31" s="540" t="s">
        <v>414</v>
      </c>
      <c r="T31" s="540"/>
      <c r="U31" s="541"/>
      <c r="V31" s="542" t="str">
        <f>IF(TITLE_NUMBER_PR_CHANGE="",IF(TITLE_NUMBER_PR="","",TITLE_NUMBER_PR),TITLE_NUMBER_PR_CHANGE)</f>
        <v/>
      </c>
      <c r="W31" s="542"/>
      <c r="X31" s="542"/>
      <c r="Y31" s="542"/>
      <c r="Z31" s="542"/>
      <c r="AA31" s="542"/>
      <c r="AB31" s="542"/>
      <c r="AC31" s="50"/>
      <c r="AD31" s="542" t="str">
        <f>IF(TITLE_NUMBER_PR_CHANGE="",IF(TITLE_NUMBER_PR="","",TITLE_NUMBER_PR),TITLE_NUMBER_PR_CHANGE)</f>
        <v/>
      </c>
      <c r="AE31" s="542"/>
      <c r="AF31" s="542"/>
      <c r="AG31" s="542"/>
      <c r="AH31" s="542"/>
      <c r="AI31" s="542"/>
      <c r="AJ31" s="542"/>
      <c r="AK31" s="50"/>
      <c r="AL31" s="50"/>
      <c r="AM31" s="543"/>
      <c r="AN31" s="128"/>
      <c r="AO31" s="128"/>
      <c r="AP31" s="128"/>
      <c r="AQ31" s="128"/>
      <c r="AR31" s="128"/>
    </row>
    <row r="32" s="185" customFormat="1" ht="18.75" hidden="1" customHeight="1">
      <c r="A32" s="150"/>
      <c r="B32" s="150"/>
      <c r="C32" s="150"/>
      <c r="D32" s="150"/>
      <c r="E32" s="150"/>
      <c r="F32" s="150"/>
      <c r="G32" s="150"/>
      <c r="H32" s="150"/>
      <c r="I32" s="150"/>
      <c r="J32" s="150"/>
      <c r="K32" s="150"/>
      <c r="L32" s="480"/>
      <c r="M32" s="150"/>
      <c r="N32" s="150"/>
      <c r="O32" s="150"/>
      <c r="S32" s="540" t="s">
        <v>39</v>
      </c>
      <c r="T32" s="540"/>
      <c r="U32" s="541"/>
      <c r="V32" s="542" t="str">
        <f>IF(TITLE_IST_PUB_CHANGE="",IF(TITLE_IST_PUB="","",TITLE_IST_PUB),TITLE_IST_PUB_CHANGE)</f>
        <v/>
      </c>
      <c r="W32" s="542"/>
      <c r="X32" s="542"/>
      <c r="Y32" s="542"/>
      <c r="Z32" s="542"/>
      <c r="AA32" s="542"/>
      <c r="AB32" s="542"/>
      <c r="AC32" s="50"/>
      <c r="AD32" s="542" t="str">
        <f>IF(TITLE_IST_PUB_CHANGE="",IF(TITLE_IST_PUB="","",TITLE_IST_PUB),TITLE_IST_PUB_CHANGE)</f>
        <v/>
      </c>
      <c r="AE32" s="542"/>
      <c r="AF32" s="542"/>
      <c r="AG32" s="542"/>
      <c r="AH32" s="542"/>
      <c r="AI32" s="542"/>
      <c r="AJ32" s="542"/>
      <c r="AK32" s="50"/>
      <c r="AL32" s="50"/>
      <c r="AM32" s="543"/>
      <c r="AN32" s="128"/>
      <c r="AO32" s="128"/>
      <c r="AP32" s="128"/>
      <c r="AQ32" s="128"/>
      <c r="AR32" s="128"/>
    </row>
    <row r="33" ht="14.25" hidden="1" customHeight="1">
      <c r="Q33" s="537"/>
      <c r="R33" s="537"/>
      <c r="S33" s="538"/>
      <c r="T33" s="89"/>
      <c r="U33" s="89"/>
      <c r="V33" s="539"/>
      <c r="W33" s="539"/>
      <c r="X33" s="539"/>
      <c r="Y33" s="539"/>
      <c r="Z33" s="539"/>
      <c r="AA33" s="539"/>
      <c r="AB33" s="539"/>
      <c r="AC33" s="539"/>
      <c r="AD33" s="539"/>
      <c r="AE33" s="539"/>
      <c r="AF33" s="539"/>
      <c r="AG33" s="539"/>
      <c r="AH33" s="539"/>
      <c r="AI33" s="539"/>
      <c r="AJ33" s="539"/>
      <c r="AK33" s="539"/>
      <c r="AL33" s="50"/>
    </row>
    <row r="34" s="185" customFormat="1" ht="18.75" hidden="1" customHeight="1">
      <c r="A34" s="150"/>
      <c r="B34" s="150"/>
      <c r="C34" s="150"/>
      <c r="D34" s="150"/>
      <c r="E34" s="150"/>
      <c r="F34" s="150"/>
      <c r="G34" s="150"/>
      <c r="H34" s="150"/>
      <c r="I34" s="150"/>
      <c r="J34" s="150"/>
      <c r="K34" s="150"/>
      <c r="L34" s="480"/>
      <c r="M34" s="150"/>
      <c r="N34" s="150"/>
      <c r="O34" s="150"/>
      <c r="S34" s="540" t="s">
        <v>415</v>
      </c>
      <c r="T34" s="540"/>
      <c r="U34" s="541"/>
      <c r="V34" s="544" t="str">
        <f>IF(TITLE_DATE_PR_CHANGE="",IF(TITLE_DATE_PR="","",TITLE_DATE_PR),TITLE_DATE_PR_CHANGE)</f>
        <v/>
      </c>
      <c r="W34" s="544"/>
      <c r="X34" s="544"/>
      <c r="Y34" s="544"/>
      <c r="Z34" s="544"/>
      <c r="AA34" s="544"/>
      <c r="AB34" s="544"/>
      <c r="AC34" s="50"/>
      <c r="AD34" s="544" t="str">
        <f>IF(TITLE_DATE_PR_CHANGE="",IF(TITLE_DATE_PR="","",TITLE_DATE_PR),TITLE_DATE_PR_CHANGE)</f>
        <v/>
      </c>
      <c r="AE34" s="544"/>
      <c r="AF34" s="544"/>
      <c r="AG34" s="544"/>
      <c r="AH34" s="544"/>
      <c r="AI34" s="544"/>
      <c r="AJ34" s="544"/>
      <c r="AK34" s="50"/>
      <c r="AL34" s="50"/>
      <c r="AM34" s="543"/>
      <c r="AN34" s="128"/>
      <c r="AO34" s="128"/>
      <c r="AP34" s="128"/>
      <c r="AQ34" s="128"/>
      <c r="AR34" s="128"/>
    </row>
    <row r="35" s="185" customFormat="1" ht="18.75" hidden="1" customHeight="1">
      <c r="A35" s="150"/>
      <c r="B35" s="150"/>
      <c r="C35" s="150"/>
      <c r="D35" s="150"/>
      <c r="E35" s="150"/>
      <c r="F35" s="150"/>
      <c r="G35" s="150"/>
      <c r="H35" s="150"/>
      <c r="I35" s="150"/>
      <c r="J35" s="150"/>
      <c r="K35" s="150"/>
      <c r="L35" s="480"/>
      <c r="M35" s="150"/>
      <c r="N35" s="150"/>
      <c r="O35" s="150"/>
      <c r="S35" s="540" t="s">
        <v>416</v>
      </c>
      <c r="T35" s="540"/>
      <c r="U35" s="541"/>
      <c r="V35" s="542" t="str">
        <f>IF(TITLE_NUMBER_PR_CHANGE="",IF(TITLE_NUMBER_PR="","",TITLE_NUMBER_PR),TITLE_NUMBER_PR_CHANGE)</f>
        <v/>
      </c>
      <c r="W35" s="542"/>
      <c r="X35" s="542"/>
      <c r="Y35" s="542"/>
      <c r="Z35" s="542"/>
      <c r="AA35" s="542"/>
      <c r="AB35" s="542"/>
      <c r="AC35" s="50"/>
      <c r="AD35" s="542" t="str">
        <f>IF(TITLE_NUMBER_PR_CHANGE="",IF(TITLE_NUMBER_PR="","",TITLE_NUMBER_PR),TITLE_NUMBER_PR_CHANGE)</f>
        <v/>
      </c>
      <c r="AE35" s="542"/>
      <c r="AF35" s="542"/>
      <c r="AG35" s="542"/>
      <c r="AH35" s="542"/>
      <c r="AI35" s="542"/>
      <c r="AJ35" s="542"/>
      <c r="AK35" s="50"/>
      <c r="AL35" s="50"/>
      <c r="AM35" s="543"/>
      <c r="AN35" s="128"/>
      <c r="AO35" s="128"/>
      <c r="AP35" s="128"/>
      <c r="AQ35" s="128"/>
      <c r="AR35" s="128"/>
    </row>
    <row r="36" s="185" customFormat="1" ht="0" customHeight="1">
      <c r="A36" s="150"/>
      <c r="B36" s="150"/>
      <c r="C36" s="150"/>
      <c r="D36" s="150"/>
      <c r="E36" s="150"/>
      <c r="F36" s="150"/>
      <c r="G36" s="150"/>
      <c r="H36" s="150"/>
      <c r="I36" s="150"/>
      <c r="J36" s="150"/>
      <c r="K36" s="150"/>
      <c r="L36" s="480"/>
      <c r="M36" s="150"/>
      <c r="N36" s="150"/>
      <c r="O36" s="150"/>
      <c r="S36" s="50"/>
      <c r="T36" s="50"/>
      <c r="U36" s="139"/>
      <c r="V36" s="50"/>
      <c r="W36" s="50"/>
      <c r="X36" s="50"/>
      <c r="Y36" s="50"/>
      <c r="Z36" s="50"/>
      <c r="AA36" s="50"/>
      <c r="AB36" s="50"/>
      <c r="AC36" s="57" t="s">
        <v>417</v>
      </c>
      <c r="AD36" s="50"/>
      <c r="AE36" s="50"/>
      <c r="AF36" s="50"/>
      <c r="AG36" s="50"/>
      <c r="AH36" s="50"/>
      <c r="AI36" s="50"/>
      <c r="AJ36" s="50"/>
      <c r="AK36" s="57" t="s">
        <v>417</v>
      </c>
      <c r="AN36" s="128"/>
      <c r="AO36" s="128"/>
      <c r="AP36" s="128"/>
      <c r="AQ36" s="128"/>
      <c r="AR36" s="128"/>
    </row>
    <row r="37" ht="14.25" customHeight="1">
      <c r="Q37" s="537"/>
      <c r="R37" s="537"/>
      <c r="S37" s="538"/>
      <c r="T37" s="89"/>
      <c r="U37" s="545"/>
      <c r="V37" s="546"/>
      <c r="W37" s="546"/>
      <c r="X37" s="546"/>
      <c r="Y37" s="546"/>
      <c r="Z37" s="546"/>
      <c r="AA37" s="546"/>
      <c r="AB37" s="546"/>
      <c r="AC37" s="546"/>
      <c r="AD37" s="546"/>
      <c r="AE37" s="546"/>
      <c r="AF37" s="546"/>
      <c r="AG37" s="546"/>
      <c r="AH37" s="546"/>
      <c r="AI37" s="546"/>
      <c r="AJ37" s="546"/>
      <c r="AK37" s="546"/>
    </row>
    <row r="38" ht="14.25" customHeight="1">
      <c r="Q38" s="537"/>
      <c r="R38" s="537"/>
      <c r="S38" s="156" t="s">
        <v>288</v>
      </c>
      <c r="T38" s="156"/>
      <c r="U38" s="156"/>
      <c r="V38" s="156"/>
      <c r="W38" s="156"/>
      <c r="X38" s="156"/>
      <c r="Y38" s="156"/>
      <c r="Z38" s="156"/>
      <c r="AA38" s="156"/>
      <c r="AB38" s="156"/>
      <c r="AC38" s="156"/>
      <c r="AD38" s="156"/>
      <c r="AE38" s="156"/>
      <c r="AF38" s="156"/>
      <c r="AG38" s="156"/>
      <c r="AH38" s="156"/>
      <c r="AI38" s="156"/>
      <c r="AJ38" s="156"/>
      <c r="AK38" s="156"/>
      <c r="AL38" s="156"/>
      <c r="AM38" s="156" t="s">
        <v>289</v>
      </c>
    </row>
    <row r="39" ht="14.25" customHeight="1">
      <c r="Q39" s="537"/>
      <c r="R39" s="537"/>
      <c r="S39" s="483" t="s">
        <v>85</v>
      </c>
      <c r="T39" s="347" t="s">
        <v>418</v>
      </c>
      <c r="U39" s="547"/>
      <c r="V39" s="548" t="s">
        <v>419</v>
      </c>
      <c r="W39" s="549"/>
      <c r="X39" s="549"/>
      <c r="Y39" s="549"/>
      <c r="Z39" s="549"/>
      <c r="AA39" s="549"/>
      <c r="AB39" s="550"/>
      <c r="AC39" s="551" t="s">
        <v>420</v>
      </c>
      <c r="AD39" s="548" t="s">
        <v>419</v>
      </c>
      <c r="AE39" s="549"/>
      <c r="AF39" s="549"/>
      <c r="AG39" s="549"/>
      <c r="AH39" s="549"/>
      <c r="AI39" s="549"/>
      <c r="AJ39" s="550"/>
      <c r="AK39" s="551" t="s">
        <v>421</v>
      </c>
      <c r="AL39" s="552" t="s">
        <v>422</v>
      </c>
      <c r="AM39" s="156"/>
    </row>
    <row r="40" ht="33.75" customHeight="1">
      <c r="Q40" s="537"/>
      <c r="R40" s="537"/>
      <c r="S40" s="483"/>
      <c r="T40" s="347"/>
      <c r="U40" s="553"/>
      <c r="V40" s="306" t="s">
        <v>423</v>
      </c>
      <c r="W40" s="554" t="s">
        <v>424</v>
      </c>
      <c r="X40" s="73" t="s">
        <v>425</v>
      </c>
      <c r="Y40" s="72"/>
      <c r="Z40" s="73" t="s">
        <v>439</v>
      </c>
      <c r="AA40" s="144"/>
      <c r="AB40" s="72"/>
      <c r="AC40" s="555"/>
      <c r="AD40" s="306" t="s">
        <v>423</v>
      </c>
      <c r="AE40" s="554" t="s">
        <v>424</v>
      </c>
      <c r="AF40" s="73" t="s">
        <v>425</v>
      </c>
      <c r="AG40" s="72"/>
      <c r="AH40" s="73" t="s">
        <v>426</v>
      </c>
      <c r="AI40" s="144"/>
      <c r="AJ40" s="72"/>
      <c r="AK40" s="555"/>
      <c r="AL40" s="556"/>
      <c r="AM40" s="156"/>
    </row>
    <row r="41" ht="33.75" customHeight="1">
      <c r="A41" s="150"/>
      <c r="B41" s="150" t="s">
        <v>137</v>
      </c>
      <c r="C41" s="150" t="s">
        <v>138</v>
      </c>
      <c r="D41" s="150" t="s">
        <v>139</v>
      </c>
      <c r="E41" s="480" t="s">
        <v>427</v>
      </c>
      <c r="F41" s="480" t="s">
        <v>428</v>
      </c>
      <c r="G41" s="480" t="s">
        <v>429</v>
      </c>
      <c r="H41" s="480" t="s">
        <v>430</v>
      </c>
      <c r="I41" s="480" t="s">
        <v>431</v>
      </c>
      <c r="J41" s="480" t="s">
        <v>432</v>
      </c>
      <c r="K41" s="480" t="s">
        <v>433</v>
      </c>
      <c r="L41" s="480" t="s">
        <v>408</v>
      </c>
      <c r="Q41" s="537"/>
      <c r="R41" s="537"/>
      <c r="S41" s="483"/>
      <c r="T41" s="347"/>
      <c r="U41" s="557"/>
      <c r="V41" s="161"/>
      <c r="W41" s="558"/>
      <c r="X41" s="247" t="s">
        <v>434</v>
      </c>
      <c r="Y41" s="247" t="s">
        <v>435</v>
      </c>
      <c r="Z41" s="247" t="s">
        <v>436</v>
      </c>
      <c r="AA41" s="414" t="s">
        <v>437</v>
      </c>
      <c r="AB41" s="416"/>
      <c r="AC41" s="559"/>
      <c r="AD41" s="161"/>
      <c r="AE41" s="558"/>
      <c r="AF41" s="247" t="s">
        <v>434</v>
      </c>
      <c r="AG41" s="247" t="s">
        <v>435</v>
      </c>
      <c r="AH41" s="247" t="s">
        <v>436</v>
      </c>
      <c r="AI41" s="414" t="s">
        <v>437</v>
      </c>
      <c r="AJ41" s="416"/>
      <c r="AK41" s="559"/>
      <c r="AL41" s="560"/>
      <c r="AM41" s="156"/>
    </row>
    <row r="42" s="130" customFormat="1" ht="11.25" hidden="1" customHeight="1">
      <c r="A42" s="150"/>
      <c r="B42" s="150"/>
      <c r="C42" s="150"/>
      <c r="D42" s="150"/>
      <c r="E42" s="150"/>
      <c r="F42" s="150"/>
      <c r="G42" s="150"/>
      <c r="H42" s="150"/>
      <c r="I42" s="150"/>
      <c r="J42" s="150"/>
      <c r="K42" s="150"/>
      <c r="L42" s="480"/>
      <c r="M42" s="61"/>
      <c r="N42" s="61"/>
      <c r="O42" s="61"/>
      <c r="P42" s="561"/>
      <c r="Q42" s="562"/>
      <c r="R42" s="563">
        <v>1</v>
      </c>
      <c r="S42" s="564" t="s">
        <v>111</v>
      </c>
      <c r="T42" s="565" t="s">
        <v>99</v>
      </c>
      <c r="U42" s="566" t="str">
        <f ca="1">OFFSET(U42,0,-1)</f>
        <v>2</v>
      </c>
      <c r="V42" s="567">
        <f ca="1">OFFSET(V42,0,-1)+1</f>
        <v>3</v>
      </c>
      <c r="W42" s="567"/>
      <c r="X42" s="567">
        <f ca="1">OFFSET(X42,0,-1)+1</f>
        <v>1</v>
      </c>
      <c r="Y42" s="567">
        <f ca="1">OFFSET(Y42,0,-1)+1</f>
        <v>2</v>
      </c>
      <c r="Z42" s="567">
        <f ca="1">OFFSET(Z42,0,-1)+1</f>
        <v>3</v>
      </c>
      <c r="AA42" s="567">
        <f ca="1">OFFSET(AA42,0,-1)+1</f>
        <v>4</v>
      </c>
      <c r="AB42" s="567"/>
      <c r="AC42" s="567">
        <f ca="1">OFFSET(AC42,0,-2)+1</f>
        <v>5</v>
      </c>
      <c r="AD42" s="567">
        <f ca="1">OFFSET(AD42,0,-1)+1</f>
        <v>6</v>
      </c>
      <c r="AE42" s="567"/>
      <c r="AF42" s="567">
        <f ca="1">OFFSET(AF42,0,-1)+1</f>
        <v>1</v>
      </c>
      <c r="AG42" s="567">
        <f ca="1">OFFSET(AG42,0,-1)+1</f>
        <v>2</v>
      </c>
      <c r="AH42" s="567">
        <f ca="1">OFFSET(AH42,0,-1)+1</f>
        <v>3</v>
      </c>
      <c r="AI42" s="567">
        <f ca="1">OFFSET(AI42,0,-1)+1</f>
        <v>4</v>
      </c>
      <c r="AJ42" s="567"/>
      <c r="AK42" s="567">
        <f ca="1">OFFSET(AK42,0,-2)+1</f>
        <v>5</v>
      </c>
      <c r="AL42" s="566">
        <f ca="1">OFFSET(AL42,0,-1)</f>
        <v>5</v>
      </c>
      <c r="AM42" s="567">
        <f ca="1">OFFSET(AM42,0,-1)+1</f>
        <v>6</v>
      </c>
      <c r="AN42" s="57"/>
      <c r="AO42" s="57"/>
      <c r="AP42" s="57"/>
      <c r="AQ42" s="57"/>
      <c r="AR42" s="57"/>
    </row>
    <row r="43" ht="21" customHeight="1">
      <c r="A43" s="478" t="s">
        <v>164</v>
      </c>
      <c r="B43" s="478"/>
      <c r="C43" s="478"/>
      <c r="D43" s="478"/>
      <c r="E43" s="479">
        <v>1</v>
      </c>
      <c r="F43" s="478"/>
      <c r="G43" s="478"/>
      <c r="H43" s="478"/>
      <c r="I43" s="478"/>
      <c r="J43" s="478"/>
      <c r="K43" s="478"/>
      <c r="L43" s="480"/>
      <c r="M43" s="481"/>
      <c r="N43" s="481"/>
      <c r="O43" s="481"/>
      <c r="P43" s="60"/>
      <c r="Q43" s="142"/>
      <c r="R43" s="482"/>
      <c r="S43" s="483">
        <f>INDEX(PT_DIFFERENTIATION_NUM_NTAR,MATCH(A43,PT_DIFFERENTIATION_NTAR_ID,0))</f>
        <v>0</v>
      </c>
      <c r="T43" s="484" t="s">
        <v>125</v>
      </c>
      <c r="U43" s="485"/>
      <c r="V43" s="486"/>
      <c r="W43" s="487"/>
      <c r="X43" s="487"/>
      <c r="Y43" s="487"/>
      <c r="Z43" s="487"/>
      <c r="AA43" s="487"/>
      <c r="AB43" s="487"/>
      <c r="AC43" s="488"/>
      <c r="AD43" s="486" t="str">
        <f>INDEX(PT_DIFFERENTIATION_NTAR,MATCH(A43,PT_DIFFERENTIATION_NTAR_ID,0))</f>
        <v/>
      </c>
      <c r="AE43" s="487"/>
      <c r="AF43" s="487"/>
      <c r="AG43" s="487"/>
      <c r="AH43" s="487"/>
      <c r="AI43" s="487"/>
      <c r="AJ43" s="487"/>
      <c r="AK43" s="487"/>
      <c r="AL43" s="488"/>
      <c r="AM43" s="4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8"/>
      <c r="AP43" s="128" t="str">
        <f t="shared" si="6"/>
        <v xml:space="preserve">Наименование тарифа</v>
      </c>
      <c r="AQ43" s="128"/>
      <c r="AR43" s="128"/>
    </row>
    <row r="44" ht="21" customHeight="1">
      <c r="A44" s="478" t="s">
        <v>164</v>
      </c>
      <c r="B44" s="478" t="s">
        <v>165</v>
      </c>
      <c r="C44" s="478"/>
      <c r="D44" s="478"/>
      <c r="E44" s="490"/>
      <c r="F44" s="479">
        <v>1</v>
      </c>
      <c r="G44" s="478"/>
      <c r="H44" s="478"/>
      <c r="I44" s="478"/>
      <c r="J44" s="478"/>
      <c r="K44" s="478"/>
      <c r="L44" s="480"/>
      <c r="M44" s="481"/>
      <c r="N44" s="481"/>
      <c r="O44" s="481"/>
      <c r="P44" s="51"/>
      <c r="Q44" s="491"/>
      <c r="R44" s="492"/>
      <c r="S44" s="483" t="str">
        <f>INDEX(PT_DIFFERENTIATION_NUM_TER,MATCH(B44,PT_DIFFERENTIATION_TER_ID,0))</f>
        <v>.</v>
      </c>
      <c r="T44" s="493" t="s">
        <v>387</v>
      </c>
      <c r="U44" s="485"/>
      <c r="V44" s="486"/>
      <c r="W44" s="487"/>
      <c r="X44" s="487"/>
      <c r="Y44" s="487"/>
      <c r="Z44" s="487"/>
      <c r="AA44" s="487"/>
      <c r="AB44" s="487"/>
      <c r="AC44" s="488"/>
      <c r="AD44" s="486" t="str">
        <f>INDEX(PT_DIFFERENTIATION_TER,MATCH(B44,PT_DIFFERENTIATION_TER_ID,0))</f>
        <v/>
      </c>
      <c r="AE44" s="487"/>
      <c r="AF44" s="487"/>
      <c r="AG44" s="487"/>
      <c r="AH44" s="487"/>
      <c r="AI44" s="487"/>
      <c r="AJ44" s="487"/>
      <c r="AK44" s="487"/>
      <c r="AL44" s="488"/>
      <c r="AM44" s="489" t="s">
        <v>388</v>
      </c>
      <c r="AO44" s="128"/>
      <c r="AP44" s="128" t="str">
        <f t="shared" si="6"/>
        <v xml:space="preserve">Территория действия тарифа</v>
      </c>
      <c r="AQ44" s="128"/>
      <c r="AR44" s="128"/>
    </row>
    <row r="45" ht="23.25" customHeight="1">
      <c r="A45" s="478" t="s">
        <v>164</v>
      </c>
      <c r="B45" s="478" t="s">
        <v>165</v>
      </c>
      <c r="C45" s="478" t="s">
        <v>166</v>
      </c>
      <c r="D45" s="478"/>
      <c r="E45" s="490"/>
      <c r="F45" s="490"/>
      <c r="G45" s="479">
        <v>1</v>
      </c>
      <c r="H45" s="478"/>
      <c r="I45" s="478"/>
      <c r="J45" s="478"/>
      <c r="K45" s="478"/>
      <c r="L45" s="480"/>
      <c r="M45" s="481"/>
      <c r="N45" s="481"/>
      <c r="O45" s="481"/>
      <c r="P45" s="494"/>
      <c r="Q45" s="491"/>
      <c r="R45" s="492"/>
      <c r="S45" s="483" t="str">
        <f>INDEX(PT_DIFFERENTIATION_NUM_CS,MATCH(C45,PT_DIFFERENTIATION_CS_ID,0))</f>
        <v>..</v>
      </c>
      <c r="T45" s="495" t="s">
        <v>389</v>
      </c>
      <c r="U45" s="485"/>
      <c r="V45" s="486"/>
      <c r="W45" s="487"/>
      <c r="X45" s="487"/>
      <c r="Y45" s="487"/>
      <c r="Z45" s="487"/>
      <c r="AA45" s="487"/>
      <c r="AB45" s="487"/>
      <c r="AC45" s="488"/>
      <c r="AD45" s="486" t="str">
        <f>INDEX(PT_DIFFERENTIATION_CS,MATCH(C45,PT_DIFFERENTIATION_CS_ID,0))</f>
        <v/>
      </c>
      <c r="AE45" s="487"/>
      <c r="AF45" s="487"/>
      <c r="AG45" s="487"/>
      <c r="AH45" s="487"/>
      <c r="AI45" s="487"/>
      <c r="AJ45" s="487"/>
      <c r="AK45" s="487"/>
      <c r="AL45" s="488"/>
      <c r="AM45" s="489" t="s">
        <v>390</v>
      </c>
      <c r="AO45" s="128"/>
      <c r="AP45" s="128" t="str">
        <f t="shared" si="6"/>
        <v xml:space="preserve">Наименование системы теплоснабжения</v>
      </c>
      <c r="AQ45" s="128"/>
      <c r="AR45" s="128"/>
    </row>
    <row r="46" ht="21" customHeight="1">
      <c r="A46" s="478" t="s">
        <v>164</v>
      </c>
      <c r="B46" s="478" t="s">
        <v>165</v>
      </c>
      <c r="C46" s="478" t="s">
        <v>166</v>
      </c>
      <c r="D46" s="478" t="s">
        <v>167</v>
      </c>
      <c r="E46" s="490"/>
      <c r="F46" s="490"/>
      <c r="G46" s="490"/>
      <c r="H46" s="479">
        <v>1</v>
      </c>
      <c r="I46" s="478"/>
      <c r="J46" s="478"/>
      <c r="K46" s="478"/>
      <c r="L46" s="480"/>
      <c r="M46" s="481"/>
      <c r="N46" s="481"/>
      <c r="O46" s="481"/>
      <c r="P46" s="494"/>
      <c r="Q46" s="491"/>
      <c r="R46" s="492"/>
      <c r="S46" s="483" t="str">
        <f>INDEX(PT_DIFFERENTIATION_NUM_IST_TE,MATCH(D46,PT_DIFFERENTIATION_IST_TE_ID,0))</f>
        <v>...</v>
      </c>
      <c r="T46" s="496" t="s">
        <v>391</v>
      </c>
      <c r="U46" s="485"/>
      <c r="V46" s="486"/>
      <c r="W46" s="487"/>
      <c r="X46" s="487"/>
      <c r="Y46" s="487"/>
      <c r="Z46" s="487"/>
      <c r="AA46" s="487"/>
      <c r="AB46" s="487"/>
      <c r="AC46" s="488"/>
      <c r="AD46" s="486" t="str">
        <f>INDEX(PT_DIFFERENTIATION_IST_TE,MATCH(D46,PT_DIFFERENTIATION_IST_TE_ID,0))</f>
        <v/>
      </c>
      <c r="AE46" s="487"/>
      <c r="AF46" s="487"/>
      <c r="AG46" s="487"/>
      <c r="AH46" s="487"/>
      <c r="AI46" s="487"/>
      <c r="AJ46" s="487"/>
      <c r="AK46" s="487"/>
      <c r="AL46" s="488"/>
      <c r="AM46" s="489" t="s">
        <v>392</v>
      </c>
      <c r="AO46" s="128"/>
      <c r="AP46" s="128" t="str">
        <f t="shared" si="6"/>
        <v xml:space="preserve">Источник тепловой энергии</v>
      </c>
      <c r="AQ46" s="128"/>
      <c r="AR46" s="128"/>
    </row>
    <row r="47" ht="47.25" customHeight="1">
      <c r="A47" s="478" t="s">
        <v>164</v>
      </c>
      <c r="B47" s="478" t="s">
        <v>165</v>
      </c>
      <c r="C47" s="478" t="s">
        <v>166</v>
      </c>
      <c r="D47" s="478" t="s">
        <v>167</v>
      </c>
      <c r="E47" s="490"/>
      <c r="F47" s="490"/>
      <c r="G47" s="490"/>
      <c r="H47" s="490"/>
      <c r="I47" s="167" t="str">
        <f>S46&amp;".1"</f>
        <v>....1</v>
      </c>
      <c r="J47" s="478"/>
      <c r="K47" s="478"/>
      <c r="L47" s="480" t="s">
        <v>393</v>
      </c>
      <c r="P47" s="131">
        <v>1</v>
      </c>
      <c r="Q47" s="131"/>
      <c r="R47" s="497"/>
      <c r="S47" s="483" t="str">
        <f>$I47</f>
        <v>....1</v>
      </c>
      <c r="T47" s="498" t="s">
        <v>394</v>
      </c>
      <c r="U47" s="485"/>
      <c r="V47" s="430"/>
      <c r="W47" s="499"/>
      <c r="X47" s="499"/>
      <c r="Y47" s="499"/>
      <c r="Z47" s="499"/>
      <c r="AA47" s="499"/>
      <c r="AB47" s="499"/>
      <c r="AC47" s="500"/>
      <c r="AD47" s="430"/>
      <c r="AE47" s="499"/>
      <c r="AF47" s="499"/>
      <c r="AG47" s="499"/>
      <c r="AH47" s="499"/>
      <c r="AI47" s="499"/>
      <c r="AJ47" s="499"/>
      <c r="AK47" s="499"/>
      <c r="AL47" s="500"/>
      <c r="AM47" s="489" t="s">
        <v>395</v>
      </c>
      <c r="AO47" s="128"/>
      <c r="AP47" s="128" t="str">
        <f t="shared" si="6"/>
        <v xml:space="preserve">Схема подключения теплопотребляющей установки к коллектору источника тепловой энергии</v>
      </c>
      <c r="AQ47" s="128"/>
      <c r="AR47" s="128"/>
    </row>
    <row r="48" ht="21" customHeight="1">
      <c r="A48" s="478" t="s">
        <v>164</v>
      </c>
      <c r="B48" s="478" t="s">
        <v>165</v>
      </c>
      <c r="C48" s="478" t="s">
        <v>166</v>
      </c>
      <c r="D48" s="478" t="s">
        <v>167</v>
      </c>
      <c r="E48" s="490"/>
      <c r="F48" s="490"/>
      <c r="G48" s="490"/>
      <c r="H48" s="490"/>
      <c r="I48" s="501"/>
      <c r="J48" s="167" t="str">
        <f>I47&amp;".1"</f>
        <v>....1.1</v>
      </c>
      <c r="K48" s="478"/>
      <c r="L48" s="480" t="s">
        <v>396</v>
      </c>
      <c r="P48" s="131"/>
      <c r="Q48" s="131">
        <v>1</v>
      </c>
      <c r="R48" s="502"/>
      <c r="S48" s="483" t="str">
        <f>$J48</f>
        <v>....1.1</v>
      </c>
      <c r="T48" s="503" t="s">
        <v>397</v>
      </c>
      <c r="U48" s="485"/>
      <c r="V48" s="430"/>
      <c r="W48" s="499"/>
      <c r="X48" s="499"/>
      <c r="Y48" s="499"/>
      <c r="Z48" s="499"/>
      <c r="AA48" s="499"/>
      <c r="AB48" s="499"/>
      <c r="AC48" s="500"/>
      <c r="AD48" s="430"/>
      <c r="AE48" s="499"/>
      <c r="AF48" s="499"/>
      <c r="AG48" s="499"/>
      <c r="AH48" s="499"/>
      <c r="AI48" s="499"/>
      <c r="AJ48" s="499"/>
      <c r="AK48" s="499"/>
      <c r="AL48" s="500"/>
      <c r="AM48" s="489" t="s">
        <v>398</v>
      </c>
      <c r="AO48" s="128"/>
      <c r="AP48" s="128" t="str">
        <f t="shared" si="6"/>
        <v xml:space="preserve">Группа потребителей</v>
      </c>
      <c r="AQ48" s="128"/>
      <c r="AR48" s="128"/>
    </row>
    <row r="49" ht="21" customHeight="1">
      <c r="A49" s="478" t="s">
        <v>164</v>
      </c>
      <c r="B49" s="478" t="s">
        <v>165</v>
      </c>
      <c r="C49" s="478" t="s">
        <v>166</v>
      </c>
      <c r="D49" s="478" t="s">
        <v>167</v>
      </c>
      <c r="E49" s="490"/>
      <c r="F49" s="490"/>
      <c r="G49" s="490"/>
      <c r="H49" s="490"/>
      <c r="I49" s="501"/>
      <c r="J49" s="501"/>
      <c r="K49" s="167" t="str">
        <f>J48&amp;".1"</f>
        <v>....1.1.1</v>
      </c>
      <c r="L49" s="480" t="s">
        <v>399</v>
      </c>
      <c r="P49" s="131"/>
      <c r="Q49" s="131"/>
      <c r="R49" s="502">
        <v>1</v>
      </c>
      <c r="S49" s="483" t="str">
        <f>$K49</f>
        <v>....1.1.1</v>
      </c>
      <c r="T49" s="504"/>
      <c r="U49" s="485"/>
      <c r="V49" s="505"/>
      <c r="W49" s="506"/>
      <c r="X49" s="505"/>
      <c r="Y49" s="507"/>
      <c r="Z49" s="508"/>
      <c r="AA49" s="225" t="s">
        <v>56</v>
      </c>
      <c r="AB49" s="508"/>
      <c r="AC49" s="225" t="s">
        <v>56</v>
      </c>
      <c r="AD49" s="505"/>
      <c r="AE49" s="506"/>
      <c r="AF49" s="505"/>
      <c r="AG49" s="507"/>
      <c r="AH49" s="508"/>
      <c r="AI49" s="225" t="s">
        <v>56</v>
      </c>
      <c r="AJ49" s="568"/>
      <c r="AK49" s="225" t="s">
        <v>56</v>
      </c>
      <c r="AL49" s="569"/>
      <c r="AM49" s="509" t="s">
        <v>400</v>
      </c>
      <c r="AN49" s="57" t="e">
        <f>STRCHECKDATE(V50:AL50)</f>
        <v>#NAME?</v>
      </c>
      <c r="AO49" s="128"/>
      <c r="AP49" s="128" t="str">
        <f t="shared" si="6"/>
        <v/>
      </c>
      <c r="AQ49" s="128"/>
      <c r="AR49" s="128"/>
    </row>
    <row r="50" ht="0.75" customHeight="1">
      <c r="A50" s="478" t="s">
        <v>164</v>
      </c>
      <c r="B50" s="478" t="s">
        <v>165</v>
      </c>
      <c r="C50" s="478" t="s">
        <v>166</v>
      </c>
      <c r="D50" s="478" t="s">
        <v>167</v>
      </c>
      <c r="E50" s="490"/>
      <c r="F50" s="490"/>
      <c r="G50" s="490"/>
      <c r="H50" s="490"/>
      <c r="I50" s="501"/>
      <c r="J50" s="501"/>
      <c r="K50" s="167"/>
      <c r="L50" s="480"/>
      <c r="P50" s="131"/>
      <c r="Q50" s="131"/>
      <c r="R50" s="502"/>
      <c r="S50" s="457"/>
      <c r="T50" s="485"/>
      <c r="U50" s="485"/>
      <c r="V50" s="506"/>
      <c r="W50" s="506"/>
      <c r="X50" s="506"/>
      <c r="Y50" s="510" t="str">
        <f>Z49&amp;"-"&amp;AB49</f>
        <v>-</v>
      </c>
      <c r="Z50" s="511"/>
      <c r="AA50" s="225"/>
      <c r="AB50" s="511"/>
      <c r="AC50" s="225"/>
      <c r="AD50" s="506"/>
      <c r="AE50" s="506"/>
      <c r="AF50" s="506"/>
      <c r="AG50" s="510" t="str">
        <f>AH49&amp;"-"&amp;AJ49</f>
        <v>-</v>
      </c>
      <c r="AH50" s="511"/>
      <c r="AI50" s="225"/>
      <c r="AJ50" s="570"/>
      <c r="AK50" s="225"/>
      <c r="AL50" s="571"/>
      <c r="AM50" s="512"/>
      <c r="AO50" s="128"/>
      <c r="AP50" s="128" t="str">
        <f t="shared" si="6"/>
        <v/>
      </c>
      <c r="AQ50" s="128"/>
      <c r="AR50" s="128"/>
    </row>
    <row r="51" ht="11.25" customHeight="1">
      <c r="A51" s="478" t="s">
        <v>164</v>
      </c>
      <c r="B51" s="478" t="s">
        <v>165</v>
      </c>
      <c r="C51" s="478" t="s">
        <v>166</v>
      </c>
      <c r="D51" s="478" t="s">
        <v>167</v>
      </c>
      <c r="E51" s="490"/>
      <c r="F51" s="490"/>
      <c r="G51" s="490"/>
      <c r="H51" s="490"/>
      <c r="I51" s="501"/>
      <c r="J51" s="167"/>
      <c r="K51" s="478"/>
      <c r="L51" s="480"/>
      <c r="P51" s="131"/>
      <c r="Q51" s="131"/>
      <c r="R51" s="497"/>
      <c r="S51" s="513"/>
      <c r="T51" s="514" t="s">
        <v>401</v>
      </c>
      <c r="U51" s="215"/>
      <c r="V51" s="215"/>
      <c r="W51" s="215"/>
      <c r="X51" s="215"/>
      <c r="Y51" s="215"/>
      <c r="Z51" s="215"/>
      <c r="AA51" s="215"/>
      <c r="AB51" s="215"/>
      <c r="AC51" s="215"/>
      <c r="AD51" s="215"/>
      <c r="AE51" s="215"/>
      <c r="AF51" s="215"/>
      <c r="AG51" s="215"/>
      <c r="AH51" s="215"/>
      <c r="AI51" s="215"/>
      <c r="AJ51" s="215"/>
      <c r="AK51" s="215"/>
      <c r="AL51" s="515"/>
      <c r="AM51" s="516"/>
      <c r="AO51" s="128"/>
      <c r="AP51" s="128" t="str">
        <f t="shared" si="6"/>
        <v xml:space="preserve">Добавить вид теплоносителя (параметры теплоносителя)</v>
      </c>
      <c r="AQ51" s="128"/>
      <c r="AR51" s="128"/>
    </row>
    <row r="52" ht="11.25" customHeight="1">
      <c r="A52" s="478" t="s">
        <v>164</v>
      </c>
      <c r="B52" s="478" t="s">
        <v>165</v>
      </c>
      <c r="C52" s="478" t="s">
        <v>166</v>
      </c>
      <c r="D52" s="478" t="s">
        <v>167</v>
      </c>
      <c r="E52" s="490"/>
      <c r="F52" s="490"/>
      <c r="G52" s="490"/>
      <c r="H52" s="490"/>
      <c r="I52" s="167"/>
      <c r="J52" s="478"/>
      <c r="K52" s="478"/>
      <c r="L52" s="480"/>
      <c r="P52" s="131"/>
      <c r="Q52" s="131"/>
      <c r="R52" s="497"/>
      <c r="S52" s="513"/>
      <c r="T52" s="517" t="s">
        <v>402</v>
      </c>
      <c r="U52" s="215"/>
      <c r="V52" s="215"/>
      <c r="W52" s="215"/>
      <c r="X52" s="215"/>
      <c r="Y52" s="215"/>
      <c r="Z52" s="215"/>
      <c r="AA52" s="215"/>
      <c r="AB52" s="215"/>
      <c r="AC52" s="518"/>
      <c r="AD52" s="215"/>
      <c r="AE52" s="215"/>
      <c r="AF52" s="215"/>
      <c r="AG52" s="215"/>
      <c r="AH52" s="215"/>
      <c r="AI52" s="215"/>
      <c r="AJ52" s="215"/>
      <c r="AK52" s="518"/>
      <c r="AL52" s="215"/>
      <c r="AM52" s="519"/>
      <c r="AO52" s="128"/>
      <c r="AP52" s="128" t="str">
        <f t="shared" si="6"/>
        <v xml:space="preserve">Добавить группу потребителей</v>
      </c>
      <c r="AQ52" s="128"/>
      <c r="AR52" s="128"/>
    </row>
    <row r="53" ht="14.25" customHeight="1">
      <c r="A53" s="478" t="s">
        <v>164</v>
      </c>
      <c r="B53" s="478" t="s">
        <v>165</v>
      </c>
      <c r="C53" s="478" t="s">
        <v>166</v>
      </c>
      <c r="D53" s="478" t="s">
        <v>167</v>
      </c>
      <c r="E53" s="490"/>
      <c r="F53" s="490"/>
      <c r="G53" s="490"/>
      <c r="H53" s="479"/>
      <c r="I53" s="478"/>
      <c r="J53" s="478"/>
      <c r="K53" s="478"/>
      <c r="L53" s="480"/>
      <c r="M53" s="481"/>
      <c r="N53" s="481"/>
      <c r="O53" s="53"/>
      <c r="P53" s="142"/>
      <c r="Q53" s="520"/>
      <c r="R53" s="482"/>
      <c r="S53" s="513"/>
      <c r="T53" s="521" t="s">
        <v>403</v>
      </c>
      <c r="U53" s="215"/>
      <c r="V53" s="215"/>
      <c r="W53" s="215"/>
      <c r="X53" s="215"/>
      <c r="Y53" s="215"/>
      <c r="Z53" s="215"/>
      <c r="AA53" s="215"/>
      <c r="AB53" s="215"/>
      <c r="AC53" s="518"/>
      <c r="AD53" s="215"/>
      <c r="AE53" s="215"/>
      <c r="AF53" s="215"/>
      <c r="AG53" s="215"/>
      <c r="AH53" s="215"/>
      <c r="AI53" s="215"/>
      <c r="AJ53" s="215"/>
      <c r="AK53" s="518"/>
      <c r="AL53" s="215"/>
      <c r="AM53" s="519"/>
      <c r="AO53" s="128"/>
      <c r="AP53" s="128" t="str">
        <f t="shared" si="6"/>
        <v xml:space="preserve">Добавить схему подключения</v>
      </c>
      <c r="AQ53" s="128"/>
      <c r="AR53" s="128"/>
    </row>
    <row r="54" s="57" customFormat="1" ht="0.75" customHeight="1">
      <c r="A54" s="132" t="s">
        <v>164</v>
      </c>
      <c r="B54" s="132" t="s">
        <v>165</v>
      </c>
      <c r="C54" s="132" t="s">
        <v>166</v>
      </c>
      <c r="D54" s="132"/>
      <c r="E54" s="490"/>
      <c r="F54" s="490"/>
      <c r="G54" s="479"/>
      <c r="H54" s="132"/>
      <c r="I54" s="132"/>
      <c r="J54" s="132"/>
      <c r="K54" s="132"/>
      <c r="L54" s="213"/>
      <c r="M54" s="463"/>
      <c r="N54" s="463"/>
      <c r="P54" s="166"/>
      <c r="Q54" s="522"/>
      <c r="R54" s="166"/>
      <c r="S54" s="527"/>
      <c r="T54" s="530" t="s">
        <v>404</v>
      </c>
      <c r="U54" s="529"/>
      <c r="V54" s="529"/>
      <c r="W54" s="529"/>
      <c r="X54" s="529"/>
      <c r="Y54" s="529"/>
      <c r="Z54" s="529"/>
      <c r="AA54" s="529"/>
      <c r="AB54" s="529"/>
      <c r="AC54" s="529"/>
      <c r="AD54" s="529"/>
      <c r="AE54" s="529"/>
      <c r="AF54" s="529"/>
      <c r="AG54" s="529"/>
      <c r="AH54" s="529"/>
      <c r="AI54" s="529"/>
      <c r="AJ54" s="529"/>
      <c r="AK54" s="529"/>
      <c r="AL54" s="529"/>
      <c r="AM54" s="529"/>
      <c r="AO54" s="128"/>
      <c r="AP54" s="128" t="str">
        <f t="shared" si="6"/>
        <v xml:space="preserve">Добавить источник для дифференциации</v>
      </c>
      <c r="AQ54" s="128"/>
      <c r="AR54" s="128"/>
    </row>
    <row r="55" s="57" customFormat="1" ht="0.75" customHeight="1">
      <c r="A55" s="132" t="s">
        <v>164</v>
      </c>
      <c r="B55" s="132" t="s">
        <v>165</v>
      </c>
      <c r="C55" s="132"/>
      <c r="D55" s="132"/>
      <c r="E55" s="490"/>
      <c r="F55" s="479"/>
      <c r="G55" s="132"/>
      <c r="H55" s="132"/>
      <c r="I55" s="132"/>
      <c r="J55" s="132"/>
      <c r="K55" s="132"/>
      <c r="L55" s="213"/>
      <c r="M55" s="526"/>
      <c r="N55" s="526"/>
      <c r="P55" s="166"/>
      <c r="Q55" s="522"/>
      <c r="R55" s="166"/>
      <c r="S55" s="527"/>
      <c r="T55" s="530" t="s">
        <v>405</v>
      </c>
      <c r="U55" s="529"/>
      <c r="V55" s="529"/>
      <c r="W55" s="529"/>
      <c r="X55" s="529"/>
      <c r="Y55" s="529"/>
      <c r="Z55" s="529"/>
      <c r="AA55" s="529"/>
      <c r="AB55" s="529"/>
      <c r="AC55" s="529"/>
      <c r="AD55" s="529"/>
      <c r="AE55" s="529"/>
      <c r="AF55" s="529"/>
      <c r="AG55" s="529"/>
      <c r="AH55" s="529"/>
      <c r="AI55" s="529"/>
      <c r="AJ55" s="529"/>
      <c r="AK55" s="529"/>
      <c r="AL55" s="529"/>
      <c r="AM55" s="529"/>
      <c r="AO55" s="128"/>
      <c r="AP55" s="128" t="str">
        <f t="shared" si="6"/>
        <v xml:space="preserve">Добавить централизованную систему для дифференциации</v>
      </c>
      <c r="AQ55" s="128"/>
      <c r="AR55" s="128"/>
    </row>
    <row r="56" s="57" customFormat="1" ht="0.75" customHeight="1">
      <c r="A56" s="132" t="s">
        <v>164</v>
      </c>
      <c r="B56" s="132"/>
      <c r="C56" s="132"/>
      <c r="D56" s="132"/>
      <c r="E56" s="479"/>
      <c r="F56" s="132"/>
      <c r="G56" s="132"/>
      <c r="H56" s="132"/>
      <c r="I56" s="132"/>
      <c r="J56" s="132"/>
      <c r="K56" s="132"/>
      <c r="L56" s="213"/>
      <c r="M56" s="526"/>
      <c r="N56" s="526"/>
      <c r="O56" s="57"/>
      <c r="P56" s="166"/>
      <c r="Q56" s="522"/>
      <c r="R56" s="166"/>
      <c r="S56" s="527"/>
      <c r="T56" s="530" t="s">
        <v>406</v>
      </c>
      <c r="U56" s="529"/>
      <c r="V56" s="529"/>
      <c r="W56" s="529"/>
      <c r="X56" s="529"/>
      <c r="Y56" s="529"/>
      <c r="Z56" s="529"/>
      <c r="AA56" s="529"/>
      <c r="AB56" s="529"/>
      <c r="AC56" s="529"/>
      <c r="AD56" s="529"/>
      <c r="AE56" s="529"/>
      <c r="AF56" s="529"/>
      <c r="AG56" s="529"/>
      <c r="AH56" s="529"/>
      <c r="AI56" s="529"/>
      <c r="AJ56" s="529"/>
      <c r="AK56" s="529"/>
      <c r="AL56" s="529"/>
      <c r="AM56" s="529"/>
      <c r="AO56" s="128"/>
      <c r="AP56" s="128" t="str">
        <f t="shared" si="6"/>
        <v xml:space="preserve">Добавить территорию для дифференциации</v>
      </c>
      <c r="AQ56" s="128"/>
      <c r="AR56" s="128"/>
    </row>
    <row r="57" s="57" customFormat="1" ht="0.75" customHeight="1">
      <c r="A57" s="132"/>
      <c r="B57" s="132"/>
      <c r="C57" s="132"/>
      <c r="D57" s="132"/>
      <c r="E57" s="132"/>
      <c r="F57" s="132"/>
      <c r="G57" s="132"/>
      <c r="H57" s="132"/>
      <c r="I57" s="132"/>
      <c r="J57" s="132"/>
      <c r="K57" s="132"/>
      <c r="L57" s="213"/>
      <c r="M57" s="526"/>
      <c r="N57" s="526"/>
      <c r="P57" s="166"/>
      <c r="Q57" s="522"/>
      <c r="R57" s="166"/>
      <c r="S57" s="527"/>
      <c r="T57" s="530" t="s">
        <v>438</v>
      </c>
      <c r="U57" s="529"/>
      <c r="V57" s="529"/>
      <c r="W57" s="529"/>
      <c r="X57" s="529"/>
      <c r="Y57" s="529"/>
      <c r="Z57" s="529"/>
      <c r="AA57" s="529"/>
      <c r="AB57" s="529"/>
      <c r="AC57" s="529"/>
      <c r="AD57" s="529"/>
      <c r="AE57" s="529"/>
      <c r="AF57" s="529"/>
      <c r="AG57" s="529"/>
      <c r="AH57" s="529"/>
      <c r="AI57" s="529"/>
      <c r="AJ57" s="529"/>
      <c r="AK57" s="529"/>
      <c r="AL57" s="529"/>
      <c r="AM57" s="529"/>
      <c r="AO57" s="128"/>
      <c r="AP57" s="128" t="str">
        <f t="shared" si="6"/>
        <v xml:space="preserve">Добавить наименование тарифа</v>
      </c>
      <c r="AQ57" s="128"/>
      <c r="AR57" s="128"/>
    </row>
    <row r="58" ht="11.25" customHeight="1">
      <c r="M58" s="53"/>
      <c r="N58" s="53"/>
      <c r="O58" s="53"/>
      <c r="P58" s="50"/>
      <c r="Q58" s="50"/>
      <c r="R58" s="50"/>
      <c r="S58" s="50"/>
      <c r="AN58" s="50"/>
      <c r="AO58" s="50"/>
      <c r="AP58" s="50"/>
      <c r="AQ58" s="50"/>
      <c r="AR58" s="50"/>
    </row>
    <row r="59" ht="27" customHeight="1">
      <c r="O59" s="53"/>
      <c r="S59" s="475"/>
      <c r="T59" s="572"/>
      <c r="U59" s="572"/>
      <c r="V59" s="572"/>
      <c r="W59" s="572"/>
      <c r="X59" s="572"/>
      <c r="Y59" s="572"/>
      <c r="Z59" s="572"/>
      <c r="AA59" s="572"/>
      <c r="AB59" s="572"/>
      <c r="AC59" s="572"/>
      <c r="AD59" s="572"/>
      <c r="AE59" s="572"/>
      <c r="AF59" s="572"/>
      <c r="AG59" s="572"/>
      <c r="AH59" s="572"/>
      <c r="AI59" s="572"/>
      <c r="AJ59" s="572"/>
      <c r="AK59" s="572"/>
      <c r="AL59" s="572"/>
      <c r="AM59" s="572"/>
    </row>
    <row r="60" ht="62.25" customHeight="1">
      <c r="O60" s="53"/>
      <c r="T60" s="572"/>
      <c r="U60" s="572"/>
      <c r="V60" s="572"/>
      <c r="W60" s="572"/>
      <c r="X60" s="572"/>
      <c r="Y60" s="572"/>
      <c r="Z60" s="572"/>
      <c r="AA60" s="572"/>
      <c r="AB60" s="572"/>
      <c r="AC60" s="572"/>
      <c r="AD60" s="572"/>
      <c r="AE60" s="572"/>
      <c r="AF60" s="572"/>
      <c r="AG60" s="572"/>
      <c r="AH60" s="572"/>
      <c r="AI60" s="572"/>
      <c r="AJ60" s="572"/>
      <c r="AK60" s="572"/>
      <c r="AL60" s="572"/>
      <c r="AM60" s="572"/>
    </row>
    <row r="61" ht="14.25" customHeight="1">
      <c r="O61" s="53"/>
    </row>
    <row r="62" ht="18" customHeight="1">
      <c r="O62" s="53"/>
      <c r="S62" s="475"/>
      <c r="T62" s="572"/>
      <c r="U62" s="572"/>
      <c r="V62" s="572"/>
      <c r="W62" s="572"/>
      <c r="X62" s="572"/>
      <c r="Y62" s="572"/>
      <c r="Z62" s="572"/>
      <c r="AA62" s="572"/>
      <c r="AB62" s="572"/>
      <c r="AC62" s="572"/>
      <c r="AD62" s="572"/>
      <c r="AE62" s="572"/>
      <c r="AF62" s="572"/>
      <c r="AG62" s="572"/>
      <c r="AH62" s="572"/>
      <c r="AI62" s="572"/>
      <c r="AJ62" s="572"/>
      <c r="AK62" s="572"/>
      <c r="AL62" s="572"/>
      <c r="AM62" s="572"/>
    </row>
    <row r="63" ht="18" customHeight="1">
      <c r="O63" s="53"/>
      <c r="T63" s="572"/>
      <c r="U63" s="572"/>
      <c r="V63" s="572"/>
      <c r="W63" s="572"/>
      <c r="X63" s="572"/>
      <c r="Y63" s="572"/>
      <c r="Z63" s="572"/>
      <c r="AA63" s="572"/>
      <c r="AB63" s="572"/>
      <c r="AC63" s="572"/>
      <c r="AD63" s="572"/>
      <c r="AE63" s="572"/>
      <c r="AF63" s="572"/>
      <c r="AG63" s="572"/>
      <c r="AH63" s="572"/>
      <c r="AI63" s="572"/>
      <c r="AJ63" s="572"/>
      <c r="AK63" s="572"/>
      <c r="AL63" s="572"/>
      <c r="AM63" s="572"/>
    </row>
    <row r="64" ht="27.75" customHeight="1">
      <c r="O64" s="53"/>
      <c r="S64" s="475"/>
      <c r="T64" s="572"/>
      <c r="U64" s="572"/>
      <c r="V64" s="572"/>
      <c r="W64" s="572"/>
      <c r="X64" s="572"/>
      <c r="Y64" s="572"/>
      <c r="Z64" s="572"/>
      <c r="AA64" s="572"/>
      <c r="AB64" s="572"/>
      <c r="AC64" s="572"/>
      <c r="AD64" s="572"/>
      <c r="AE64" s="572"/>
      <c r="AF64" s="572"/>
      <c r="AG64" s="572"/>
      <c r="AH64" s="572"/>
      <c r="AI64" s="572"/>
      <c r="AJ64" s="572"/>
      <c r="AK64" s="572"/>
      <c r="AL64" s="572"/>
      <c r="AM64" s="572"/>
    </row>
  </sheetData>
  <sheetProtection autoFilter="0" deleteColumns="0" deleteRows="0" formatCells="1" formatColumns="0" formatRows="0"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4A0070-000C-47C5-AC65-006F00AE0036}"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3F006E-00E4-457C-BDFE-0058002C009E}"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0D00FF-0097-453C-A040-00D0001B0070}"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3D0077-0089-430E-9151-009E001000FD}"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P25"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min="16" max="16" style="60" width="3.7109375"/>
    <col customWidth="1" min="17" max="18" style="477" width="3.7109375"/>
    <col customWidth="1" min="19" max="19" style="322" width="12.7109375"/>
    <col customWidth="1" min="20" max="20" style="50" width="32.00390625"/>
    <col customWidth="1" hidden="1" min="21" max="21" style="50" width="0.7109375"/>
    <col customWidth="1" hidden="1" min="22" max="22" style="50" width="1.7109375"/>
    <col customWidth="1" hidden="1" min="23" max="23" style="50" width="24.7109375"/>
    <col customWidth="1" hidden="1" min="24" max="25" style="50" width="0.14062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0.140625"/>
    <col customWidth="1" min="31" max="31" style="50" width="24.7109375"/>
    <col customWidth="1" min="32" max="33" style="50" width="0.140625"/>
    <col customWidth="1" min="34" max="34" style="50" width="11.7109375"/>
    <col customWidth="1" min="35" max="35" style="50" width="3.7109375"/>
    <col customWidth="1" min="36" max="36" style="50" width="11.7109375"/>
    <col customWidth="1" hidden="1" min="37" max="37" style="50" width="8.57421875"/>
    <col customWidth="1" min="38" max="38" style="50" width="4.7109375"/>
    <col customWidth="1" min="39" max="39" style="50" width="115.7109375"/>
    <col min="40" max="41" style="57" width="10.57421875"/>
    <col customWidth="1" min="42" max="42" style="57" width="11.140625"/>
    <col min="43" max="44" style="57" width="10.57421875"/>
  </cols>
  <sheetData>
    <row r="1" ht="14.25" hidden="1" customHeight="1">
      <c r="Y1" s="50"/>
      <c r="Z1" s="50"/>
      <c r="AG1" s="50"/>
      <c r="AH1" s="50"/>
    </row>
    <row r="2" ht="21"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7"/>
      <c r="AC2" s="488"/>
      <c r="AD2" s="486" t="e">
        <f>INDEX(PT_DIFFERENTIATION_NTAR,MATCH(A2,PT_DIFFERENTIATION_NTAR_ID,0))</f>
        <v>#VALUE!</v>
      </c>
      <c r="AE2" s="487"/>
      <c r="AF2" s="487"/>
      <c r="AG2" s="487"/>
      <c r="AH2" s="487"/>
      <c r="AI2" s="487"/>
      <c r="AJ2" s="487"/>
      <c r="AK2" s="487"/>
      <c r="AL2" s="488"/>
      <c r="AM2" s="489" t="s">
        <v>386</v>
      </c>
      <c r="AO2" s="128"/>
      <c r="AP2" s="128" t="str">
        <f t="shared" ref="AP2:AP9" si="7">IF(T2="","",T2)</f>
        <v xml:space="preserve">Наименование тарифа</v>
      </c>
      <c r="AQ2" s="128"/>
      <c r="AR2" s="128"/>
    </row>
    <row r="3" ht="21"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7"/>
      <c r="AC3" s="488"/>
      <c r="AD3" s="486" t="e">
        <f>INDEX(PT_DIFFERENTIATION_TER,MATCH(B3,PT_DIFFERENTIATION_TER_ID,0))</f>
        <v>#VALUE!</v>
      </c>
      <c r="AE3" s="487"/>
      <c r="AF3" s="487"/>
      <c r="AG3" s="487"/>
      <c r="AH3" s="487"/>
      <c r="AI3" s="487"/>
      <c r="AJ3" s="487"/>
      <c r="AK3" s="487"/>
      <c r="AL3" s="488"/>
      <c r="AM3" s="489" t="s">
        <v>388</v>
      </c>
      <c r="AO3" s="128"/>
      <c r="AP3" s="128" t="str">
        <f t="shared" si="7"/>
        <v xml:space="preserve">Территория действия тарифа</v>
      </c>
      <c r="AQ3" s="128"/>
      <c r="AR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389</v>
      </c>
      <c r="U4" s="485"/>
      <c r="V4" s="486"/>
      <c r="W4" s="487"/>
      <c r="X4" s="487"/>
      <c r="Y4" s="487"/>
      <c r="Z4" s="487"/>
      <c r="AA4" s="487"/>
      <c r="AB4" s="487"/>
      <c r="AC4" s="488"/>
      <c r="AD4" s="486" t="e">
        <f>INDEX(PT_DIFFERENTIATION_CS,MATCH(C4,PT_DIFFERENTIATION_CS_ID,0))</f>
        <v>#VALUE!</v>
      </c>
      <c r="AE4" s="487"/>
      <c r="AF4" s="487"/>
      <c r="AG4" s="487"/>
      <c r="AH4" s="487"/>
      <c r="AI4" s="487"/>
      <c r="AJ4" s="487"/>
      <c r="AK4" s="487"/>
      <c r="AL4" s="488"/>
      <c r="AM4" s="489" t="s">
        <v>390</v>
      </c>
      <c r="AO4" s="128"/>
      <c r="AP4" s="128" t="str">
        <f t="shared" si="7"/>
        <v xml:space="preserve">Наименование системы теплоснабжения</v>
      </c>
      <c r="AQ4" s="128"/>
      <c r="AR4" s="128"/>
    </row>
    <row r="5" ht="21" hidden="1" customHeight="1">
      <c r="A5" s="478"/>
      <c r="B5" s="478"/>
      <c r="C5" s="478"/>
      <c r="D5" s="478"/>
      <c r="E5" s="490"/>
      <c r="F5" s="490"/>
      <c r="G5" s="490"/>
      <c r="H5" s="479">
        <v>1</v>
      </c>
      <c r="I5" s="478"/>
      <c r="J5" s="478"/>
      <c r="K5" s="478"/>
      <c r="L5" s="480"/>
      <c r="M5" s="481"/>
      <c r="N5" s="481"/>
      <c r="O5" s="481"/>
      <c r="P5" s="494"/>
      <c r="Q5" s="491"/>
      <c r="R5" s="492"/>
      <c r="S5" s="483" t="e">
        <f>INDEX(PT_DIFFERENTIATION_NUM_IST_TE,MATCH(D5,PT_DIFFERENTIATION_IST_TE_ID,0))</f>
        <v>#VALUE!</v>
      </c>
      <c r="T5" s="496" t="s">
        <v>391</v>
      </c>
      <c r="U5" s="485"/>
      <c r="V5" s="486"/>
      <c r="W5" s="487"/>
      <c r="X5" s="487"/>
      <c r="Y5" s="487"/>
      <c r="Z5" s="487"/>
      <c r="AA5" s="487"/>
      <c r="AB5" s="487"/>
      <c r="AC5" s="488"/>
      <c r="AD5" s="486" t="e">
        <f>INDEX(PT_DIFFERENTIATION_IST_TE,MATCH(D5,PT_DIFFERENTIATION_IST_TE_ID,0))</f>
        <v>#VALUE!</v>
      </c>
      <c r="AE5" s="487"/>
      <c r="AF5" s="487"/>
      <c r="AG5" s="487"/>
      <c r="AH5" s="487"/>
      <c r="AI5" s="487"/>
      <c r="AJ5" s="487"/>
      <c r="AK5" s="487"/>
      <c r="AL5" s="488"/>
      <c r="AM5" s="489" t="s">
        <v>392</v>
      </c>
      <c r="AO5" s="128"/>
      <c r="AP5" s="128" t="str">
        <f t="shared" si="7"/>
        <v xml:space="preserve">Источник тепловой энергии</v>
      </c>
      <c r="AQ5" s="128"/>
      <c r="AR5" s="128"/>
    </row>
    <row r="6" ht="47.25" hidden="1" customHeight="1">
      <c r="A6" s="478"/>
      <c r="B6" s="478"/>
      <c r="C6" s="478"/>
      <c r="D6" s="478"/>
      <c r="E6" s="490"/>
      <c r="F6" s="490"/>
      <c r="G6" s="490"/>
      <c r="H6" s="490"/>
      <c r="I6" s="167" t="e">
        <f>S5&amp;".1"</f>
        <v>#VALUE!</v>
      </c>
      <c r="J6" s="478"/>
      <c r="K6" s="478"/>
      <c r="L6" s="480" t="s">
        <v>393</v>
      </c>
      <c r="M6" s="53"/>
      <c r="P6" s="131">
        <v>1</v>
      </c>
      <c r="Q6" s="131"/>
      <c r="R6" s="497"/>
      <c r="S6" s="483" t="e">
        <f>$I6</f>
        <v>#VALUE!</v>
      </c>
      <c r="T6" s="498" t="s">
        <v>394</v>
      </c>
      <c r="U6" s="485"/>
      <c r="V6" s="430"/>
      <c r="W6" s="499"/>
      <c r="X6" s="499"/>
      <c r="Y6" s="499"/>
      <c r="Z6" s="499"/>
      <c r="AA6" s="499"/>
      <c r="AB6" s="499"/>
      <c r="AC6" s="500"/>
      <c r="AD6" s="430"/>
      <c r="AE6" s="499"/>
      <c r="AF6" s="499"/>
      <c r="AG6" s="499"/>
      <c r="AH6" s="499"/>
      <c r="AI6" s="499"/>
      <c r="AJ6" s="499"/>
      <c r="AK6" s="499"/>
      <c r="AL6" s="500"/>
      <c r="AM6" s="489" t="s">
        <v>395</v>
      </c>
      <c r="AO6" s="128"/>
      <c r="AP6" s="128" t="str">
        <f t="shared" si="7"/>
        <v xml:space="preserve">Схема подключения теплопотребляющей установки к коллектору источника тепловой энергии</v>
      </c>
      <c r="AQ6" s="128"/>
      <c r="AR6" s="128"/>
    </row>
    <row r="7" ht="21" hidden="1" customHeight="1">
      <c r="A7" s="478"/>
      <c r="B7" s="478"/>
      <c r="C7" s="478"/>
      <c r="D7" s="478"/>
      <c r="E7" s="490"/>
      <c r="F7" s="490"/>
      <c r="G7" s="490"/>
      <c r="H7" s="490"/>
      <c r="I7" s="501"/>
      <c r="J7" s="167" t="e">
        <f>I6&amp;".1"</f>
        <v>#VALUE!</v>
      </c>
      <c r="K7" s="478"/>
      <c r="L7" s="480" t="s">
        <v>396</v>
      </c>
      <c r="M7" s="53"/>
      <c r="N7" s="53"/>
      <c r="P7" s="131"/>
      <c r="Q7" s="131">
        <v>1</v>
      </c>
      <c r="R7" s="502"/>
      <c r="S7" s="483" t="e">
        <f>$J7</f>
        <v>#VALUE!</v>
      </c>
      <c r="T7" s="503" t="s">
        <v>397</v>
      </c>
      <c r="U7" s="485"/>
      <c r="V7" s="430"/>
      <c r="W7" s="499"/>
      <c r="X7" s="499"/>
      <c r="Y7" s="499"/>
      <c r="Z7" s="499"/>
      <c r="AA7" s="499"/>
      <c r="AB7" s="499"/>
      <c r="AC7" s="500"/>
      <c r="AD7" s="430"/>
      <c r="AE7" s="499"/>
      <c r="AF7" s="499"/>
      <c r="AG7" s="499"/>
      <c r="AH7" s="499"/>
      <c r="AI7" s="499"/>
      <c r="AJ7" s="499"/>
      <c r="AK7" s="499"/>
      <c r="AL7" s="500"/>
      <c r="AM7" s="489" t="s">
        <v>398</v>
      </c>
      <c r="AO7" s="128"/>
      <c r="AP7" s="128" t="str">
        <f t="shared" si="7"/>
        <v xml:space="preserve">Группа потребителей</v>
      </c>
      <c r="AQ7" s="128"/>
      <c r="AR7" s="128"/>
    </row>
    <row r="8" ht="21" hidden="1" customHeight="1">
      <c r="A8" s="478"/>
      <c r="B8" s="478"/>
      <c r="C8" s="478"/>
      <c r="D8" s="478"/>
      <c r="E8" s="490"/>
      <c r="F8" s="490"/>
      <c r="G8" s="490"/>
      <c r="H8" s="490"/>
      <c r="I8" s="501"/>
      <c r="J8" s="501"/>
      <c r="K8" s="167" t="e">
        <f>J7&amp;".1"</f>
        <v>#VALUE!</v>
      </c>
      <c r="L8" s="480" t="s">
        <v>399</v>
      </c>
      <c r="M8" s="53"/>
      <c r="N8" s="53"/>
      <c r="O8" s="53"/>
      <c r="P8" s="131"/>
      <c r="Q8" s="131"/>
      <c r="R8" s="502">
        <v>1</v>
      </c>
      <c r="S8" s="483" t="e">
        <f>$K8</f>
        <v>#VALUE!</v>
      </c>
      <c r="T8" s="504"/>
      <c r="U8" s="485"/>
      <c r="V8" s="506"/>
      <c r="W8" s="505"/>
      <c r="X8" s="506"/>
      <c r="Y8" s="573"/>
      <c r="Z8" s="508"/>
      <c r="AA8" s="225" t="s">
        <v>56</v>
      </c>
      <c r="AB8" s="508"/>
      <c r="AC8" s="225" t="s">
        <v>56</v>
      </c>
      <c r="AD8" s="506"/>
      <c r="AE8" s="505"/>
      <c r="AF8" s="506"/>
      <c r="AG8" s="573"/>
      <c r="AH8" s="508"/>
      <c r="AI8" s="225" t="s">
        <v>56</v>
      </c>
      <c r="AJ8" s="508"/>
      <c r="AK8" s="225" t="s">
        <v>56</v>
      </c>
      <c r="AL8" s="506"/>
      <c r="AM8" s="509" t="s">
        <v>400</v>
      </c>
      <c r="AN8" s="57" t="e">
        <f>STRCHECKDATE(V9:AL9)</f>
        <v>#NAME?</v>
      </c>
      <c r="AO8" s="128"/>
      <c r="AP8" s="128" t="str">
        <f t="shared" si="7"/>
        <v/>
      </c>
      <c r="AQ8" s="128"/>
      <c r="AR8" s="128"/>
    </row>
    <row r="9" ht="0.75" hidden="1" customHeight="1">
      <c r="A9" s="478"/>
      <c r="B9" s="478"/>
      <c r="C9" s="478"/>
      <c r="D9" s="478"/>
      <c r="E9" s="490"/>
      <c r="F9" s="490"/>
      <c r="G9" s="490"/>
      <c r="H9" s="490"/>
      <c r="I9" s="501"/>
      <c r="J9" s="501"/>
      <c r="K9" s="167"/>
      <c r="L9" s="480"/>
      <c r="M9" s="53"/>
      <c r="N9" s="53"/>
      <c r="O9" s="53"/>
      <c r="P9" s="131"/>
      <c r="Q9" s="131"/>
      <c r="R9" s="502"/>
      <c r="S9" s="457"/>
      <c r="T9" s="485"/>
      <c r="U9" s="485"/>
      <c r="V9" s="506"/>
      <c r="W9" s="506"/>
      <c r="X9" s="506"/>
      <c r="Y9" s="510" t="str">
        <f>Z8&amp;"-"&amp;AB8</f>
        <v>-</v>
      </c>
      <c r="Z9" s="511"/>
      <c r="AA9" s="225"/>
      <c r="AB9" s="511"/>
      <c r="AC9" s="225"/>
      <c r="AD9" s="506"/>
      <c r="AE9" s="506"/>
      <c r="AF9" s="506"/>
      <c r="AG9" s="510" t="str">
        <f>AH8&amp;"-"&amp;AJ8</f>
        <v>-</v>
      </c>
      <c r="AH9" s="511"/>
      <c r="AI9" s="225"/>
      <c r="AJ9" s="511"/>
      <c r="AK9" s="225"/>
      <c r="AL9" s="506"/>
      <c r="AM9" s="512"/>
      <c r="AO9" s="128"/>
      <c r="AP9" s="128" t="str">
        <f t="shared" si="7"/>
        <v/>
      </c>
      <c r="AQ9" s="128"/>
      <c r="AR9" s="128"/>
    </row>
    <row r="10" ht="15" hidden="1" customHeight="1">
      <c r="A10" s="478"/>
      <c r="B10" s="478"/>
      <c r="C10" s="478"/>
      <c r="D10" s="478"/>
      <c r="E10" s="490"/>
      <c r="F10" s="490"/>
      <c r="G10" s="490"/>
      <c r="H10" s="490"/>
      <c r="I10" s="501"/>
      <c r="J10" s="167"/>
      <c r="K10" s="478"/>
      <c r="L10" s="480"/>
      <c r="M10" s="53"/>
      <c r="N10" s="53"/>
      <c r="P10" s="131"/>
      <c r="Q10" s="131"/>
      <c r="R10" s="497"/>
      <c r="S10" s="513"/>
      <c r="T10" s="514" t="s">
        <v>401</v>
      </c>
      <c r="U10" s="215"/>
      <c r="V10" s="215"/>
      <c r="W10" s="215"/>
      <c r="X10" s="215"/>
      <c r="Y10" s="215"/>
      <c r="Z10" s="215"/>
      <c r="AA10" s="215"/>
      <c r="AB10" s="215"/>
      <c r="AC10" s="215"/>
      <c r="AD10" s="215"/>
      <c r="AE10" s="215"/>
      <c r="AF10" s="215"/>
      <c r="AG10" s="215"/>
      <c r="AH10" s="215"/>
      <c r="AI10" s="215"/>
      <c r="AJ10" s="215"/>
      <c r="AK10" s="215"/>
      <c r="AL10" s="515"/>
      <c r="AM10" s="516"/>
      <c r="AO10" s="128"/>
      <c r="AP10" s="128" t="str">
        <f t="shared" ref="AP10:AP57" si="8">IF(T10="","",T10)</f>
        <v xml:space="preserve">Добавить вид теплоносителя (параметры теплоносителя)</v>
      </c>
      <c r="AQ10" s="128"/>
      <c r="AR10" s="128"/>
    </row>
    <row r="11" ht="15" hidden="1" customHeight="1">
      <c r="A11" s="478"/>
      <c r="B11" s="478"/>
      <c r="C11" s="478"/>
      <c r="D11" s="478"/>
      <c r="E11" s="490"/>
      <c r="F11" s="490"/>
      <c r="G11" s="490"/>
      <c r="H11" s="490"/>
      <c r="I11" s="167"/>
      <c r="J11" s="478"/>
      <c r="K11" s="478"/>
      <c r="L11" s="480"/>
      <c r="M11" s="53"/>
      <c r="P11" s="131"/>
      <c r="Q11" s="131"/>
      <c r="R11" s="497"/>
      <c r="S11" s="513"/>
      <c r="T11" s="517" t="s">
        <v>402</v>
      </c>
      <c r="U11" s="215"/>
      <c r="V11" s="215"/>
      <c r="W11" s="215"/>
      <c r="X11" s="215"/>
      <c r="Y11" s="215"/>
      <c r="Z11" s="215"/>
      <c r="AA11" s="215"/>
      <c r="AB11" s="215"/>
      <c r="AC11" s="518"/>
      <c r="AD11" s="215"/>
      <c r="AE11" s="215"/>
      <c r="AF11" s="215"/>
      <c r="AG11" s="215"/>
      <c r="AH11" s="215"/>
      <c r="AI11" s="215"/>
      <c r="AJ11" s="215"/>
      <c r="AK11" s="518"/>
      <c r="AL11" s="215"/>
      <c r="AM11" s="519"/>
      <c r="AO11" s="128"/>
      <c r="AP11" s="128" t="str">
        <f t="shared" si="8"/>
        <v xml:space="preserve">Добавить группу потребителей</v>
      </c>
      <c r="AQ11" s="128"/>
      <c r="AR11" s="128"/>
    </row>
    <row r="12" ht="14.25" hidden="1" customHeight="1">
      <c r="A12" s="478"/>
      <c r="B12" s="478"/>
      <c r="C12" s="478"/>
      <c r="D12" s="478"/>
      <c r="E12" s="490"/>
      <c r="F12" s="490"/>
      <c r="G12" s="490"/>
      <c r="H12" s="479"/>
      <c r="I12" s="478"/>
      <c r="J12" s="478"/>
      <c r="K12" s="478"/>
      <c r="L12" s="480"/>
      <c r="M12" s="481"/>
      <c r="N12" s="481"/>
      <c r="O12" s="53"/>
      <c r="P12" s="142"/>
      <c r="Q12" s="520"/>
      <c r="R12" s="482"/>
      <c r="S12" s="513"/>
      <c r="T12" s="521" t="s">
        <v>403</v>
      </c>
      <c r="U12" s="215"/>
      <c r="V12" s="215"/>
      <c r="W12" s="215"/>
      <c r="X12" s="215"/>
      <c r="Y12" s="215"/>
      <c r="Z12" s="215"/>
      <c r="AA12" s="215"/>
      <c r="AB12" s="215"/>
      <c r="AC12" s="518"/>
      <c r="AD12" s="215"/>
      <c r="AE12" s="215"/>
      <c r="AF12" s="215"/>
      <c r="AG12" s="215"/>
      <c r="AH12" s="215"/>
      <c r="AI12" s="215"/>
      <c r="AJ12" s="215"/>
      <c r="AK12" s="518"/>
      <c r="AL12" s="215"/>
      <c r="AM12" s="519"/>
      <c r="AO12" s="128"/>
      <c r="AP12" s="128" t="str">
        <f t="shared" si="8"/>
        <v xml:space="preserve">Добавить схему подключения</v>
      </c>
      <c r="AQ12" s="128"/>
      <c r="AR12" s="128"/>
    </row>
    <row r="13" s="57" customFormat="1" ht="0.75" hidden="1" customHeight="1">
      <c r="A13" s="132"/>
      <c r="B13" s="132"/>
      <c r="C13" s="132"/>
      <c r="D13" s="132"/>
      <c r="E13" s="490"/>
      <c r="F13" s="490"/>
      <c r="G13" s="479"/>
      <c r="H13" s="132"/>
      <c r="I13" s="132"/>
      <c r="J13" s="132"/>
      <c r="K13" s="132"/>
      <c r="L13" s="213"/>
      <c r="M13" s="463"/>
      <c r="N13" s="463"/>
      <c r="P13" s="166"/>
      <c r="Q13" s="522"/>
      <c r="R13" s="166"/>
      <c r="S13" s="523"/>
      <c r="T13" s="524" t="s">
        <v>404</v>
      </c>
      <c r="U13" s="525"/>
      <c r="V13" s="525"/>
      <c r="W13" s="525"/>
      <c r="X13" s="525"/>
      <c r="Y13" s="525"/>
      <c r="Z13" s="525"/>
      <c r="AA13" s="525"/>
      <c r="AB13" s="525"/>
      <c r="AC13" s="525"/>
      <c r="AD13" s="525"/>
      <c r="AE13" s="525"/>
      <c r="AF13" s="525"/>
      <c r="AG13" s="525"/>
      <c r="AH13" s="525"/>
      <c r="AI13" s="525"/>
      <c r="AJ13" s="525"/>
      <c r="AK13" s="525"/>
      <c r="AL13" s="525"/>
      <c r="AM13" s="525"/>
      <c r="AO13" s="128"/>
      <c r="AP13" s="128" t="str">
        <f t="shared" si="8"/>
        <v xml:space="preserve">Добавить источник для дифференциации</v>
      </c>
      <c r="AQ13" s="128"/>
      <c r="AR13" s="128"/>
    </row>
    <row r="14" s="57" customFormat="1" ht="0.75" hidden="1" customHeight="1">
      <c r="A14" s="132"/>
      <c r="B14" s="132"/>
      <c r="C14" s="132"/>
      <c r="D14" s="132"/>
      <c r="E14" s="490"/>
      <c r="F14" s="479"/>
      <c r="G14" s="132"/>
      <c r="H14" s="132"/>
      <c r="I14" s="132"/>
      <c r="J14" s="132"/>
      <c r="K14" s="132"/>
      <c r="L14" s="213"/>
      <c r="M14" s="526"/>
      <c r="N14" s="526"/>
      <c r="P14" s="166"/>
      <c r="Q14" s="522"/>
      <c r="R14" s="166"/>
      <c r="S14" s="527"/>
      <c r="T14" s="528" t="s">
        <v>405</v>
      </c>
      <c r="U14" s="529"/>
      <c r="V14" s="529"/>
      <c r="W14" s="529"/>
      <c r="X14" s="529"/>
      <c r="Y14" s="529"/>
      <c r="Z14" s="529"/>
      <c r="AA14" s="529"/>
      <c r="AB14" s="529"/>
      <c r="AC14" s="529"/>
      <c r="AD14" s="529"/>
      <c r="AE14" s="529"/>
      <c r="AF14" s="529"/>
      <c r="AG14" s="529"/>
      <c r="AH14" s="529"/>
      <c r="AI14" s="529"/>
      <c r="AJ14" s="529"/>
      <c r="AK14" s="529"/>
      <c r="AL14" s="529"/>
      <c r="AM14" s="529"/>
      <c r="AO14" s="128"/>
      <c r="AP14" s="128" t="str">
        <f t="shared" si="8"/>
        <v xml:space="preserve">Добавить централизованную систему для дифференциации</v>
      </c>
      <c r="AQ14" s="128"/>
      <c r="AR14" s="128"/>
    </row>
    <row r="15" s="57" customFormat="1" ht="0.75" hidden="1" customHeight="1">
      <c r="A15" s="132"/>
      <c r="B15" s="132"/>
      <c r="C15" s="132"/>
      <c r="D15" s="132"/>
      <c r="E15" s="479"/>
      <c r="F15" s="132"/>
      <c r="G15" s="132"/>
      <c r="H15" s="132"/>
      <c r="I15" s="132"/>
      <c r="J15" s="132"/>
      <c r="K15" s="132"/>
      <c r="L15" s="213"/>
      <c r="M15" s="526"/>
      <c r="N15" s="526"/>
      <c r="P15" s="166"/>
      <c r="Q15" s="522"/>
      <c r="R15" s="166"/>
      <c r="S15" s="527"/>
      <c r="T15" s="530" t="s">
        <v>406</v>
      </c>
      <c r="U15" s="529"/>
      <c r="V15" s="529"/>
      <c r="W15" s="529"/>
      <c r="X15" s="529"/>
      <c r="Y15" s="529"/>
      <c r="Z15" s="529"/>
      <c r="AA15" s="529"/>
      <c r="AB15" s="529"/>
      <c r="AC15" s="529"/>
      <c r="AD15" s="529"/>
      <c r="AE15" s="529"/>
      <c r="AF15" s="529"/>
      <c r="AG15" s="529"/>
      <c r="AH15" s="529"/>
      <c r="AI15" s="529"/>
      <c r="AJ15" s="529"/>
      <c r="AK15" s="529"/>
      <c r="AL15" s="529"/>
      <c r="AM15" s="529"/>
      <c r="AO15" s="128"/>
      <c r="AP15" s="128" t="str">
        <f t="shared" si="8"/>
        <v xml:space="preserve">Добавить территорию для дифференциации</v>
      </c>
      <c r="AQ15" s="128"/>
      <c r="AR15" s="128"/>
    </row>
    <row r="16" ht="14.25" hidden="1" customHeight="1">
      <c r="AC16" s="50"/>
      <c r="AK16" s="50"/>
    </row>
    <row r="17" ht="14.25" hidden="1" customHeight="1">
      <c r="AD17" s="531"/>
      <c r="AE17" s="531"/>
      <c r="AF17" s="531"/>
      <c r="AG17" s="532"/>
      <c r="AH17" s="533"/>
      <c r="AI17" s="534" t="s">
        <v>56</v>
      </c>
      <c r="AJ17" s="533"/>
      <c r="AK17" s="534" t="s">
        <v>56</v>
      </c>
    </row>
    <row r="18" ht="14.25" hidden="1" customHeight="1">
      <c r="AD18" s="531"/>
      <c r="AE18" s="531"/>
      <c r="AF18" s="531"/>
      <c r="AG18" s="510" t="str">
        <f>AH17&amp;"-"&amp;AJ17</f>
        <v>-</v>
      </c>
      <c r="AH18" s="534"/>
      <c r="AI18" s="534"/>
      <c r="AJ18" s="534"/>
      <c r="AK18" s="534"/>
    </row>
    <row r="19" ht="14.25" hidden="1" customHeight="1">
      <c r="AK19" s="50"/>
    </row>
    <row r="20" s="53" customFormat="1" ht="22.5" hidden="1" customHeight="1">
      <c r="L20" s="113"/>
      <c r="M20" s="61"/>
      <c r="N20" s="61"/>
      <c r="O20" s="535" t="s">
        <v>407</v>
      </c>
      <c r="P20" s="61"/>
      <c r="Q20" s="536"/>
      <c r="R20" s="536"/>
      <c r="S20" s="481"/>
      <c r="Z20" s="535"/>
      <c r="AB20" s="535"/>
      <c r="AC20" s="53"/>
      <c r="AH20" s="535"/>
      <c r="AJ20" s="535"/>
      <c r="AK20" s="53"/>
      <c r="AN20" s="57"/>
      <c r="AO20" s="57"/>
      <c r="AP20" s="57"/>
      <c r="AQ20" s="57"/>
      <c r="AR20" s="57"/>
    </row>
    <row r="21" s="53" customFormat="1" ht="14.25" hidden="1" customHeight="1">
      <c r="L21" s="113"/>
      <c r="M21" s="61"/>
      <c r="N21" s="61"/>
      <c r="O21" s="61"/>
      <c r="P21" s="61"/>
      <c r="Q21" s="536"/>
      <c r="R21" s="536"/>
      <c r="S21" s="481"/>
      <c r="AC21" s="53"/>
      <c r="AK21" s="53"/>
      <c r="AN21" s="57"/>
      <c r="AO21" s="57"/>
      <c r="AP21" s="57"/>
      <c r="AQ21" s="57"/>
      <c r="AR21" s="57"/>
    </row>
    <row r="22" s="53" customFormat="1" ht="33.75" hidden="1" customHeight="1">
      <c r="L22" s="113"/>
      <c r="M22" s="61"/>
      <c r="N22" s="61"/>
      <c r="O22" s="480" t="s">
        <v>408</v>
      </c>
      <c r="P22" s="61"/>
      <c r="Q22" s="536"/>
      <c r="R22" s="536"/>
      <c r="S22" s="481"/>
      <c r="T22" s="53" t="s">
        <v>409</v>
      </c>
      <c r="AA22" s="150" t="s">
        <v>410</v>
      </c>
      <c r="AC22" s="150" t="s">
        <v>411</v>
      </c>
      <c r="AD22" s="53" t="s">
        <v>409</v>
      </c>
      <c r="AI22" s="150" t="s">
        <v>412</v>
      </c>
      <c r="AK22" s="150" t="s">
        <v>411</v>
      </c>
      <c r="AN22" s="57"/>
      <c r="AO22" s="57"/>
      <c r="AP22" s="57"/>
      <c r="AQ22" s="57"/>
      <c r="AR22" s="57"/>
    </row>
    <row r="23" ht="14.25" hidden="1" customHeight="1">
      <c r="O23" s="480"/>
    </row>
    <row r="24" ht="14.25" hidden="1" customHeight="1">
      <c r="O24" s="480"/>
    </row>
    <row r="25" ht="14.25" customHeight="1">
      <c r="Q25" s="537"/>
      <c r="R25" s="537"/>
      <c r="S25" s="538"/>
      <c r="T25" s="89"/>
      <c r="U25" s="89"/>
      <c r="V25" s="50"/>
      <c r="W25" s="50"/>
      <c r="X25" s="50"/>
      <c r="Y25" s="50"/>
      <c r="Z25" s="50"/>
      <c r="AA25" s="50"/>
      <c r="AB25" s="50"/>
      <c r="AC25" s="50"/>
      <c r="AD25" s="50"/>
      <c r="AE25" s="50"/>
      <c r="AF25" s="50"/>
      <c r="AG25" s="50"/>
      <c r="AH25" s="50"/>
      <c r="AI25" s="50"/>
      <c r="AJ25" s="50"/>
      <c r="AK25" s="50"/>
    </row>
    <row r="26" ht="27.75" customHeight="1">
      <c r="Q26" s="537"/>
      <c r="R26" s="537"/>
      <c r="S26" s="45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51"/>
      <c r="U26" s="451"/>
      <c r="V26" s="451"/>
      <c r="W26" s="451"/>
      <c r="X26" s="451"/>
      <c r="Y26" s="451"/>
      <c r="Z26" s="451"/>
      <c r="AA26" s="451"/>
      <c r="AB26" s="451"/>
      <c r="AC26" s="451"/>
      <c r="AD26" s="451"/>
      <c r="AE26" s="451"/>
      <c r="AF26" s="451"/>
      <c r="AG26" s="451"/>
      <c r="AH26" s="451"/>
      <c r="AI26" s="451"/>
      <c r="AJ26" s="451"/>
      <c r="AK26" s="241"/>
    </row>
    <row r="27" ht="14.25" customHeight="1">
      <c r="Q27" s="537"/>
      <c r="R27" s="537"/>
      <c r="S27" s="302" t="str">
        <f>IF(org=0,"Не определено",org)</f>
        <v xml:space="preserve">филиал ПАО "ОГК-2" - Адлерская ТЭС</v>
      </c>
      <c r="T27" s="302"/>
      <c r="U27" s="302"/>
      <c r="V27" s="302"/>
      <c r="W27" s="302"/>
      <c r="X27" s="302"/>
      <c r="Y27" s="302"/>
      <c r="Z27" s="302"/>
      <c r="AA27" s="302"/>
      <c r="AB27" s="302"/>
      <c r="AC27" s="302"/>
      <c r="AD27" s="302"/>
      <c r="AE27" s="302"/>
      <c r="AF27" s="302"/>
      <c r="AG27" s="302"/>
      <c r="AH27" s="302"/>
      <c r="AI27" s="302"/>
      <c r="AJ27" s="302"/>
      <c r="AK27" s="241"/>
    </row>
    <row r="28" ht="14.25" hidden="1" customHeight="1">
      <c r="Q28" s="537"/>
      <c r="R28" s="537"/>
      <c r="S28" s="538"/>
      <c r="T28" s="89"/>
      <c r="U28" s="89"/>
      <c r="V28" s="539"/>
      <c r="W28" s="539"/>
      <c r="X28" s="539"/>
      <c r="Y28" s="539"/>
      <c r="Z28" s="539"/>
      <c r="AA28" s="539"/>
      <c r="AB28" s="539"/>
      <c r="AC28" s="539"/>
      <c r="AD28" s="539"/>
      <c r="AE28" s="539"/>
      <c r="AF28" s="539"/>
      <c r="AG28" s="539"/>
      <c r="AH28" s="539"/>
      <c r="AI28" s="539"/>
      <c r="AJ28" s="539"/>
      <c r="AK28" s="539"/>
      <c r="AL28" s="50"/>
    </row>
    <row r="29" s="185" customFormat="1" ht="25.5" hidden="1" customHeight="1">
      <c r="A29" s="150"/>
      <c r="B29" s="150"/>
      <c r="C29" s="150"/>
      <c r="D29" s="150"/>
      <c r="E29" s="150"/>
      <c r="F29" s="150"/>
      <c r="G29" s="150"/>
      <c r="H29" s="150"/>
      <c r="I29" s="150"/>
      <c r="J29" s="150"/>
      <c r="K29" s="150"/>
      <c r="L29" s="480"/>
      <c r="M29" s="150"/>
      <c r="N29" s="150"/>
      <c r="O29" s="150"/>
      <c r="S29" s="540" t="s">
        <v>38</v>
      </c>
      <c r="T29" s="540"/>
      <c r="U29" s="541"/>
      <c r="V29" s="542" t="str">
        <f>IF(TITLE_NAME_OR_PR_CHANGE="",IF(TITLE_NAME_OR_PR="","",TITLE_NAME_OR_PR),TITLE_NAME_OR_PR_CHANGE)</f>
        <v/>
      </c>
      <c r="W29" s="542"/>
      <c r="X29" s="542"/>
      <c r="Y29" s="542"/>
      <c r="Z29" s="542"/>
      <c r="AA29" s="542"/>
      <c r="AB29" s="542"/>
      <c r="AC29" s="50"/>
      <c r="AD29" s="542" t="str">
        <f>IF(TITLE_NAME_OR_PR_CHANGE="",IF(TITLE_NAME_OR_PR="","",TITLE_NAME_OR_PR),TITLE_NAME_OR_PR_CHANGE)</f>
        <v/>
      </c>
      <c r="AE29" s="542"/>
      <c r="AF29" s="542"/>
      <c r="AG29" s="542"/>
      <c r="AH29" s="542"/>
      <c r="AI29" s="542"/>
      <c r="AJ29" s="542"/>
      <c r="AK29" s="50"/>
      <c r="AL29" s="50"/>
      <c r="AM29" s="543"/>
      <c r="AN29" s="128"/>
      <c r="AO29" s="128"/>
      <c r="AP29" s="128"/>
      <c r="AQ29" s="128"/>
      <c r="AR29" s="128"/>
    </row>
    <row r="30" s="185" customFormat="1" ht="18.75" hidden="1" customHeight="1">
      <c r="A30" s="150"/>
      <c r="B30" s="150"/>
      <c r="C30" s="150"/>
      <c r="D30" s="150"/>
      <c r="E30" s="150"/>
      <c r="F30" s="150"/>
      <c r="G30" s="150"/>
      <c r="H30" s="150"/>
      <c r="I30" s="150"/>
      <c r="J30" s="150"/>
      <c r="K30" s="150"/>
      <c r="L30" s="480"/>
      <c r="M30" s="150"/>
      <c r="N30" s="150"/>
      <c r="O30" s="150"/>
      <c r="S30" s="540" t="s">
        <v>413</v>
      </c>
      <c r="T30" s="540"/>
      <c r="U30" s="541"/>
      <c r="V30" s="544" t="str">
        <f>IF(TITLE_DATE_PR_CHANGE="",IF(TITLE_DATE_PR="","",TITLE_DATE_PR),TITLE_DATE_PR_CHANGE)</f>
        <v/>
      </c>
      <c r="W30" s="544"/>
      <c r="X30" s="544"/>
      <c r="Y30" s="544"/>
      <c r="Z30" s="544"/>
      <c r="AA30" s="544"/>
      <c r="AB30" s="544"/>
      <c r="AC30" s="50"/>
      <c r="AD30" s="544" t="str">
        <f>IF(TITLE_DATE_PR_CHANGE="",IF(TITLE_DATE_PR="","",TITLE_DATE_PR),TITLE_DATE_PR_CHANGE)</f>
        <v/>
      </c>
      <c r="AE30" s="544"/>
      <c r="AF30" s="544"/>
      <c r="AG30" s="544"/>
      <c r="AH30" s="544"/>
      <c r="AI30" s="544"/>
      <c r="AJ30" s="544"/>
      <c r="AK30" s="50"/>
      <c r="AL30" s="50"/>
      <c r="AM30" s="543"/>
      <c r="AN30" s="128"/>
      <c r="AO30" s="128"/>
      <c r="AP30" s="128"/>
      <c r="AQ30" s="128"/>
      <c r="AR30" s="128"/>
    </row>
    <row r="31" s="185" customFormat="1" ht="18.75" hidden="1" customHeight="1">
      <c r="A31" s="150"/>
      <c r="B31" s="150"/>
      <c r="C31" s="150"/>
      <c r="D31" s="150"/>
      <c r="E31" s="150"/>
      <c r="F31" s="150"/>
      <c r="G31" s="150"/>
      <c r="H31" s="150"/>
      <c r="I31" s="150"/>
      <c r="J31" s="150"/>
      <c r="K31" s="150"/>
      <c r="L31" s="480"/>
      <c r="M31" s="150"/>
      <c r="N31" s="150"/>
      <c r="O31" s="150"/>
      <c r="S31" s="540" t="s">
        <v>414</v>
      </c>
      <c r="T31" s="540"/>
      <c r="U31" s="541"/>
      <c r="V31" s="542" t="str">
        <f>IF(TITLE_NUMBER_PR_CHANGE="",IF(TITLE_NUMBER_PR="","",TITLE_NUMBER_PR),TITLE_NUMBER_PR_CHANGE)</f>
        <v/>
      </c>
      <c r="W31" s="542"/>
      <c r="X31" s="542"/>
      <c r="Y31" s="542"/>
      <c r="Z31" s="542"/>
      <c r="AA31" s="542"/>
      <c r="AB31" s="542"/>
      <c r="AC31" s="50"/>
      <c r="AD31" s="542" t="str">
        <f>IF(TITLE_NUMBER_PR_CHANGE="",IF(TITLE_NUMBER_PR="","",TITLE_NUMBER_PR),TITLE_NUMBER_PR_CHANGE)</f>
        <v/>
      </c>
      <c r="AE31" s="542"/>
      <c r="AF31" s="542"/>
      <c r="AG31" s="542"/>
      <c r="AH31" s="542"/>
      <c r="AI31" s="542"/>
      <c r="AJ31" s="542"/>
      <c r="AK31" s="50"/>
      <c r="AL31" s="50"/>
      <c r="AM31" s="543"/>
      <c r="AN31" s="128"/>
      <c r="AO31" s="128"/>
      <c r="AP31" s="128"/>
      <c r="AQ31" s="128"/>
      <c r="AR31" s="128"/>
    </row>
    <row r="32" s="185" customFormat="1" ht="18.75" hidden="1" customHeight="1">
      <c r="A32" s="150"/>
      <c r="B32" s="150"/>
      <c r="C32" s="150"/>
      <c r="D32" s="150"/>
      <c r="E32" s="150"/>
      <c r="F32" s="150"/>
      <c r="G32" s="150"/>
      <c r="H32" s="150"/>
      <c r="I32" s="150"/>
      <c r="J32" s="150"/>
      <c r="K32" s="150"/>
      <c r="L32" s="480"/>
      <c r="M32" s="150"/>
      <c r="N32" s="150"/>
      <c r="O32" s="150"/>
      <c r="S32" s="540" t="s">
        <v>39</v>
      </c>
      <c r="T32" s="540"/>
      <c r="U32" s="541"/>
      <c r="V32" s="542" t="str">
        <f>IF(TITLE_IST_PUB_CHANGE="",IF(TITLE_IST_PUB="","",TITLE_IST_PUB),TITLE_IST_PUB_CHANGE)</f>
        <v/>
      </c>
      <c r="W32" s="542"/>
      <c r="X32" s="542"/>
      <c r="Y32" s="542"/>
      <c r="Z32" s="542"/>
      <c r="AA32" s="542"/>
      <c r="AB32" s="542"/>
      <c r="AC32" s="50"/>
      <c r="AD32" s="542" t="str">
        <f>IF(TITLE_IST_PUB_CHANGE="",IF(TITLE_IST_PUB="","",TITLE_IST_PUB),TITLE_IST_PUB_CHANGE)</f>
        <v/>
      </c>
      <c r="AE32" s="542"/>
      <c r="AF32" s="542"/>
      <c r="AG32" s="542"/>
      <c r="AH32" s="542"/>
      <c r="AI32" s="542"/>
      <c r="AJ32" s="542"/>
      <c r="AK32" s="50"/>
      <c r="AL32" s="50"/>
      <c r="AM32" s="543"/>
      <c r="AN32" s="128"/>
      <c r="AO32" s="128"/>
      <c r="AP32" s="128"/>
      <c r="AQ32" s="128"/>
      <c r="AR32" s="128"/>
    </row>
    <row r="33" ht="14.25" hidden="1" customHeight="1">
      <c r="Q33" s="537"/>
      <c r="R33" s="537"/>
      <c r="S33" s="538"/>
      <c r="T33" s="89"/>
      <c r="U33" s="89"/>
      <c r="V33" s="539"/>
      <c r="W33" s="539"/>
      <c r="X33" s="539"/>
      <c r="Y33" s="539"/>
      <c r="Z33" s="539"/>
      <c r="AA33" s="539"/>
      <c r="AB33" s="539"/>
      <c r="AC33" s="539"/>
      <c r="AD33" s="539"/>
      <c r="AE33" s="539"/>
      <c r="AF33" s="539"/>
      <c r="AG33" s="539"/>
      <c r="AH33" s="539"/>
      <c r="AI33" s="539"/>
      <c r="AJ33" s="539"/>
      <c r="AK33" s="539"/>
      <c r="AL33" s="50"/>
    </row>
    <row r="34" s="185" customFormat="1" ht="18.75" hidden="1" customHeight="1">
      <c r="A34" s="150"/>
      <c r="B34" s="150"/>
      <c r="C34" s="150"/>
      <c r="D34" s="150"/>
      <c r="E34" s="150"/>
      <c r="F34" s="150"/>
      <c r="G34" s="150"/>
      <c r="H34" s="150"/>
      <c r="I34" s="150"/>
      <c r="J34" s="150"/>
      <c r="K34" s="150"/>
      <c r="L34" s="480"/>
      <c r="M34" s="150"/>
      <c r="N34" s="150"/>
      <c r="O34" s="150"/>
      <c r="S34" s="540" t="s">
        <v>415</v>
      </c>
      <c r="T34" s="540"/>
      <c r="U34" s="541"/>
      <c r="V34" s="544" t="str">
        <f>IF(TITLE_DATE_PR_CHANGE="",IF(TITLE_DATE_PR="","",TITLE_DATE_PR),TITLE_DATE_PR_CHANGE)</f>
        <v/>
      </c>
      <c r="W34" s="544"/>
      <c r="X34" s="544"/>
      <c r="Y34" s="544"/>
      <c r="Z34" s="544"/>
      <c r="AA34" s="544"/>
      <c r="AB34" s="544"/>
      <c r="AC34" s="50"/>
      <c r="AD34" s="544" t="str">
        <f>IF(TITLE_DATE_PR_CHANGE="",IF(TITLE_DATE_PR="","",TITLE_DATE_PR),TITLE_DATE_PR_CHANGE)</f>
        <v/>
      </c>
      <c r="AE34" s="544"/>
      <c r="AF34" s="544"/>
      <c r="AG34" s="544"/>
      <c r="AH34" s="544"/>
      <c r="AI34" s="544"/>
      <c r="AJ34" s="544"/>
      <c r="AK34" s="50"/>
      <c r="AL34" s="50"/>
      <c r="AM34" s="543"/>
      <c r="AN34" s="128"/>
      <c r="AO34" s="128"/>
      <c r="AP34" s="128"/>
      <c r="AQ34" s="128"/>
      <c r="AR34" s="128"/>
    </row>
    <row r="35" s="185" customFormat="1" ht="18.75" hidden="1" customHeight="1">
      <c r="A35" s="150"/>
      <c r="B35" s="150"/>
      <c r="C35" s="150"/>
      <c r="D35" s="150"/>
      <c r="E35" s="150"/>
      <c r="F35" s="150"/>
      <c r="G35" s="150"/>
      <c r="H35" s="150"/>
      <c r="I35" s="150"/>
      <c r="J35" s="150"/>
      <c r="K35" s="150"/>
      <c r="L35" s="480"/>
      <c r="M35" s="150"/>
      <c r="N35" s="150"/>
      <c r="O35" s="150"/>
      <c r="S35" s="540" t="s">
        <v>416</v>
      </c>
      <c r="T35" s="540"/>
      <c r="U35" s="541"/>
      <c r="V35" s="542" t="str">
        <f>IF(TITLE_NUMBER_PR_CHANGE="",IF(TITLE_NUMBER_PR="","",TITLE_NUMBER_PR),TITLE_NUMBER_PR_CHANGE)</f>
        <v/>
      </c>
      <c r="W35" s="542"/>
      <c r="X35" s="542"/>
      <c r="Y35" s="542"/>
      <c r="Z35" s="542"/>
      <c r="AA35" s="542"/>
      <c r="AB35" s="542"/>
      <c r="AC35" s="50"/>
      <c r="AD35" s="542" t="str">
        <f>IF(TITLE_NUMBER_PR_CHANGE="",IF(TITLE_NUMBER_PR="","",TITLE_NUMBER_PR),TITLE_NUMBER_PR_CHANGE)</f>
        <v/>
      </c>
      <c r="AE35" s="542"/>
      <c r="AF35" s="542"/>
      <c r="AG35" s="542"/>
      <c r="AH35" s="542"/>
      <c r="AI35" s="542"/>
      <c r="AJ35" s="542"/>
      <c r="AK35" s="50"/>
      <c r="AL35" s="50"/>
      <c r="AM35" s="543"/>
      <c r="AN35" s="128"/>
      <c r="AO35" s="128"/>
      <c r="AP35" s="128"/>
      <c r="AQ35" s="128"/>
      <c r="AR35" s="128"/>
    </row>
    <row r="36" s="185" customFormat="1" ht="0" customHeight="1">
      <c r="A36" s="150"/>
      <c r="B36" s="150"/>
      <c r="C36" s="150"/>
      <c r="D36" s="150"/>
      <c r="E36" s="150"/>
      <c r="F36" s="150"/>
      <c r="G36" s="150"/>
      <c r="H36" s="150"/>
      <c r="I36" s="150"/>
      <c r="J36" s="150"/>
      <c r="K36" s="150"/>
      <c r="L36" s="480"/>
      <c r="M36" s="150"/>
      <c r="N36" s="150"/>
      <c r="O36" s="150"/>
      <c r="S36" s="50"/>
      <c r="T36" s="50"/>
      <c r="U36" s="139"/>
      <c r="V36" s="50"/>
      <c r="W36" s="50"/>
      <c r="X36" s="50"/>
      <c r="Y36" s="50"/>
      <c r="Z36" s="50"/>
      <c r="AA36" s="50"/>
      <c r="AB36" s="50"/>
      <c r="AC36" s="57" t="s">
        <v>417</v>
      </c>
      <c r="AD36" s="50"/>
      <c r="AE36" s="50"/>
      <c r="AF36" s="50"/>
      <c r="AG36" s="50"/>
      <c r="AH36" s="50"/>
      <c r="AI36" s="50"/>
      <c r="AJ36" s="50"/>
      <c r="AK36" s="57" t="s">
        <v>417</v>
      </c>
      <c r="AN36" s="128"/>
      <c r="AO36" s="128"/>
      <c r="AP36" s="128"/>
      <c r="AQ36" s="128"/>
      <c r="AR36" s="128"/>
    </row>
    <row r="37" ht="14.25" customHeight="1">
      <c r="Q37" s="537"/>
      <c r="R37" s="537"/>
      <c r="S37" s="538"/>
      <c r="T37" s="89"/>
      <c r="U37" s="545"/>
      <c r="V37" s="546"/>
      <c r="W37" s="546"/>
      <c r="X37" s="546"/>
      <c r="Y37" s="546"/>
      <c r="Z37" s="546"/>
      <c r="AA37" s="546"/>
      <c r="AB37" s="546"/>
      <c r="AC37" s="546"/>
      <c r="AD37" s="546"/>
      <c r="AE37" s="546"/>
      <c r="AF37" s="546"/>
      <c r="AG37" s="546"/>
      <c r="AH37" s="546"/>
      <c r="AI37" s="546"/>
      <c r="AJ37" s="546"/>
      <c r="AK37" s="546"/>
    </row>
    <row r="38" ht="14.25" customHeight="1">
      <c r="Q38" s="537"/>
      <c r="R38" s="537"/>
      <c r="S38" s="156" t="s">
        <v>288</v>
      </c>
      <c r="T38" s="156"/>
      <c r="U38" s="156"/>
      <c r="V38" s="156"/>
      <c r="W38" s="156"/>
      <c r="X38" s="156"/>
      <c r="Y38" s="156"/>
      <c r="Z38" s="156"/>
      <c r="AA38" s="156"/>
      <c r="AB38" s="156"/>
      <c r="AC38" s="156"/>
      <c r="AD38" s="156"/>
      <c r="AE38" s="156"/>
      <c r="AF38" s="156"/>
      <c r="AG38" s="156"/>
      <c r="AH38" s="156"/>
      <c r="AI38" s="156"/>
      <c r="AJ38" s="156"/>
      <c r="AK38" s="156"/>
      <c r="AL38" s="156"/>
      <c r="AM38" s="156" t="s">
        <v>289</v>
      </c>
    </row>
    <row r="39" ht="14.25" customHeight="1">
      <c r="Q39" s="537"/>
      <c r="R39" s="537"/>
      <c r="S39" s="483" t="s">
        <v>85</v>
      </c>
      <c r="T39" s="347" t="s">
        <v>418</v>
      </c>
      <c r="U39" s="547"/>
      <c r="V39" s="548" t="s">
        <v>419</v>
      </c>
      <c r="W39" s="549"/>
      <c r="X39" s="574"/>
      <c r="Y39" s="574"/>
      <c r="Z39" s="549"/>
      <c r="AA39" s="549"/>
      <c r="AB39" s="550"/>
      <c r="AC39" s="551" t="s">
        <v>420</v>
      </c>
      <c r="AD39" s="548" t="s">
        <v>419</v>
      </c>
      <c r="AE39" s="549"/>
      <c r="AF39" s="574"/>
      <c r="AG39" s="574"/>
      <c r="AH39" s="549"/>
      <c r="AI39" s="549"/>
      <c r="AJ39" s="550"/>
      <c r="AK39" s="551" t="s">
        <v>421</v>
      </c>
      <c r="AL39" s="552" t="s">
        <v>422</v>
      </c>
      <c r="AM39" s="156"/>
    </row>
    <row r="40" ht="23.25" customHeight="1">
      <c r="Q40" s="537"/>
      <c r="R40" s="537"/>
      <c r="S40" s="483"/>
      <c r="T40" s="347"/>
      <c r="U40" s="553"/>
      <c r="V40" s="575" t="s">
        <v>423</v>
      </c>
      <c r="W40" s="303" t="s">
        <v>424</v>
      </c>
      <c r="X40" s="350" t="s">
        <v>425</v>
      </c>
      <c r="Y40" s="350"/>
      <c r="Z40" s="144" t="s">
        <v>426</v>
      </c>
      <c r="AA40" s="144"/>
      <c r="AB40" s="72"/>
      <c r="AC40" s="555"/>
      <c r="AD40" s="575" t="s">
        <v>423</v>
      </c>
      <c r="AE40" s="303" t="s">
        <v>424</v>
      </c>
      <c r="AF40" s="350" t="s">
        <v>425</v>
      </c>
      <c r="AG40" s="350"/>
      <c r="AH40" s="144" t="s">
        <v>426</v>
      </c>
      <c r="AI40" s="144"/>
      <c r="AJ40" s="72"/>
      <c r="AK40" s="555"/>
      <c r="AL40" s="556"/>
      <c r="AM40" s="156"/>
    </row>
    <row r="41" s="106" customFormat="1" ht="23.25" customHeight="1">
      <c r="A41" s="150"/>
      <c r="B41" s="150" t="s">
        <v>137</v>
      </c>
      <c r="C41" s="150" t="s">
        <v>138</v>
      </c>
      <c r="D41" s="150" t="s">
        <v>139</v>
      </c>
      <c r="E41" s="480" t="s">
        <v>427</v>
      </c>
      <c r="F41" s="480" t="s">
        <v>428</v>
      </c>
      <c r="G41" s="480" t="s">
        <v>429</v>
      </c>
      <c r="H41" s="480" t="s">
        <v>430</v>
      </c>
      <c r="I41" s="480" t="s">
        <v>431</v>
      </c>
      <c r="J41" s="480" t="s">
        <v>432</v>
      </c>
      <c r="K41" s="480" t="s">
        <v>433</v>
      </c>
      <c r="L41" s="480" t="s">
        <v>408</v>
      </c>
      <c r="M41" s="61"/>
      <c r="N41" s="61"/>
      <c r="O41" s="61"/>
      <c r="P41" s="60"/>
      <c r="Q41" s="537"/>
      <c r="R41" s="537"/>
      <c r="S41" s="483"/>
      <c r="T41" s="347"/>
      <c r="U41" s="557"/>
      <c r="V41" s="162"/>
      <c r="W41" s="309"/>
      <c r="X41" s="157" t="s">
        <v>434</v>
      </c>
      <c r="Y41" s="157" t="s">
        <v>435</v>
      </c>
      <c r="Z41" s="416" t="s">
        <v>436</v>
      </c>
      <c r="AA41" s="414" t="s">
        <v>437</v>
      </c>
      <c r="AB41" s="416"/>
      <c r="AC41" s="559"/>
      <c r="AD41" s="162"/>
      <c r="AE41" s="309"/>
      <c r="AF41" s="157" t="s">
        <v>434</v>
      </c>
      <c r="AG41" s="157" t="s">
        <v>435</v>
      </c>
      <c r="AH41" s="416" t="s">
        <v>436</v>
      </c>
      <c r="AI41" s="414" t="s">
        <v>437</v>
      </c>
      <c r="AJ41" s="416"/>
      <c r="AK41" s="559"/>
      <c r="AL41" s="560"/>
      <c r="AM41" s="156"/>
      <c r="AN41" s="57"/>
      <c r="AO41" s="128"/>
      <c r="AP41" s="128"/>
      <c r="AQ41" s="128"/>
      <c r="AR41" s="128"/>
    </row>
    <row r="42" s="130" customFormat="1" ht="11.25" hidden="1" customHeight="1">
      <c r="A42" s="150"/>
      <c r="B42" s="150"/>
      <c r="C42" s="150"/>
      <c r="D42" s="150"/>
      <c r="E42" s="150"/>
      <c r="F42" s="150"/>
      <c r="G42" s="150"/>
      <c r="H42" s="150"/>
      <c r="I42" s="150"/>
      <c r="J42" s="150"/>
      <c r="K42" s="150"/>
      <c r="L42" s="480"/>
      <c r="M42" s="61"/>
      <c r="N42" s="61"/>
      <c r="O42" s="61"/>
      <c r="P42" s="561"/>
      <c r="Q42" s="562"/>
      <c r="R42" s="563">
        <v>1</v>
      </c>
      <c r="S42" s="564" t="s">
        <v>111</v>
      </c>
      <c r="T42" s="565" t="s">
        <v>99</v>
      </c>
      <c r="U42" s="566" t="str">
        <f ca="1">OFFSET(U42,0,-1)</f>
        <v>2</v>
      </c>
      <c r="V42" s="567">
        <f ca="1">OFFSET(V42,0,-1)+1</f>
        <v>3</v>
      </c>
      <c r="W42" s="567"/>
      <c r="X42" s="425">
        <f ca="1">OFFSET(X42,0,-1)+1</f>
        <v>1</v>
      </c>
      <c r="Y42" s="425">
        <f ca="1">OFFSET(Y42,0,-1)+1</f>
        <v>2</v>
      </c>
      <c r="Z42" s="567">
        <f ca="1">OFFSET(Z42,0,-1)+1</f>
        <v>3</v>
      </c>
      <c r="AA42" s="567">
        <f ca="1">OFFSET(AA42,0,-1)+1</f>
        <v>4</v>
      </c>
      <c r="AB42" s="567"/>
      <c r="AC42" s="567">
        <f ca="1">OFFSET(AC42,0,-2)+1</f>
        <v>5</v>
      </c>
      <c r="AD42" s="567">
        <f ca="1">OFFSET(AD42,0,-1)+1</f>
        <v>6</v>
      </c>
      <c r="AE42" s="567"/>
      <c r="AF42" s="425">
        <f ca="1">OFFSET(AF42,0,-1)+1</f>
        <v>1</v>
      </c>
      <c r="AG42" s="425">
        <f ca="1">OFFSET(AG42,0,-1)+1</f>
        <v>2</v>
      </c>
      <c r="AH42" s="567">
        <f ca="1">OFFSET(AH42,0,-1)+1</f>
        <v>3</v>
      </c>
      <c r="AI42" s="567">
        <f ca="1">OFFSET(AI42,0,-1)+1</f>
        <v>4</v>
      </c>
      <c r="AJ42" s="567"/>
      <c r="AK42" s="567">
        <f ca="1">OFFSET(AK42,0,-2)+1</f>
        <v>5</v>
      </c>
      <c r="AL42" s="566">
        <f ca="1">OFFSET(AL42,0,-1)</f>
        <v>5</v>
      </c>
      <c r="AM42" s="567">
        <f ca="1">OFFSET(AM42,0,-1)+1</f>
        <v>6</v>
      </c>
      <c r="AN42" s="57"/>
      <c r="AO42" s="57"/>
      <c r="AP42" s="57"/>
      <c r="AQ42" s="57"/>
      <c r="AR42" s="57"/>
    </row>
    <row r="43" ht="21" customHeight="1">
      <c r="A43" s="478" t="s">
        <v>194</v>
      </c>
      <c r="B43" s="478"/>
      <c r="C43" s="478"/>
      <c r="D43" s="478"/>
      <c r="E43" s="479">
        <v>1</v>
      </c>
      <c r="F43" s="478"/>
      <c r="G43" s="478"/>
      <c r="H43" s="478"/>
      <c r="I43" s="478"/>
      <c r="J43" s="478"/>
      <c r="K43" s="478"/>
      <c r="L43" s="480"/>
      <c r="M43" s="481"/>
      <c r="N43" s="481"/>
      <c r="O43" s="481"/>
      <c r="P43" s="60"/>
      <c r="Q43" s="142"/>
      <c r="R43" s="482"/>
      <c r="S43" s="483">
        <f>INDEX(PT_DIFFERENTIATION_NUM_NTAR,MATCH(A43,PT_DIFFERENTIATION_NTAR_ID,0))</f>
        <v>0</v>
      </c>
      <c r="T43" s="484" t="s">
        <v>125</v>
      </c>
      <c r="U43" s="485"/>
      <c r="V43" s="486"/>
      <c r="W43" s="487"/>
      <c r="X43" s="487"/>
      <c r="Y43" s="487"/>
      <c r="Z43" s="487"/>
      <c r="AA43" s="487"/>
      <c r="AB43" s="487"/>
      <c r="AC43" s="488"/>
      <c r="AD43" s="486" t="str">
        <f>INDEX(PT_DIFFERENTIATION_NTAR,MATCH(A43,PT_DIFFERENTIATION_NTAR_ID,0))</f>
        <v/>
      </c>
      <c r="AE43" s="487"/>
      <c r="AF43" s="487"/>
      <c r="AG43" s="487"/>
      <c r="AH43" s="487"/>
      <c r="AI43" s="487"/>
      <c r="AJ43" s="487"/>
      <c r="AK43" s="487"/>
      <c r="AL43" s="488"/>
      <c r="AM43" s="48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8"/>
      <c r="AP43" s="128" t="str">
        <f t="shared" si="8"/>
        <v xml:space="preserve">Наименование тарифа</v>
      </c>
      <c r="AQ43" s="128"/>
      <c r="AR43" s="128"/>
    </row>
    <row r="44" ht="21" customHeight="1">
      <c r="A44" s="478" t="s">
        <v>194</v>
      </c>
      <c r="B44" s="478" t="s">
        <v>195</v>
      </c>
      <c r="C44" s="478"/>
      <c r="D44" s="478"/>
      <c r="E44" s="490"/>
      <c r="F44" s="479">
        <v>1</v>
      </c>
      <c r="G44" s="478"/>
      <c r="H44" s="478"/>
      <c r="I44" s="478"/>
      <c r="J44" s="478"/>
      <c r="K44" s="478"/>
      <c r="L44" s="480"/>
      <c r="M44" s="481"/>
      <c r="N44" s="481"/>
      <c r="O44" s="481"/>
      <c r="P44" s="51"/>
      <c r="Q44" s="491"/>
      <c r="R44" s="492"/>
      <c r="S44" s="483" t="str">
        <f>INDEX(PT_DIFFERENTIATION_NUM_TER,MATCH(B44,PT_DIFFERENTIATION_TER_ID,0))</f>
        <v>.</v>
      </c>
      <c r="T44" s="493" t="s">
        <v>387</v>
      </c>
      <c r="U44" s="485"/>
      <c r="V44" s="486"/>
      <c r="W44" s="487"/>
      <c r="X44" s="487"/>
      <c r="Y44" s="487"/>
      <c r="Z44" s="487"/>
      <c r="AA44" s="487"/>
      <c r="AB44" s="487"/>
      <c r="AC44" s="488"/>
      <c r="AD44" s="486" t="str">
        <f>INDEX(PT_DIFFERENTIATION_TER,MATCH(B44,PT_DIFFERENTIATION_TER_ID,0))</f>
        <v/>
      </c>
      <c r="AE44" s="487"/>
      <c r="AF44" s="487"/>
      <c r="AG44" s="487"/>
      <c r="AH44" s="487"/>
      <c r="AI44" s="487"/>
      <c r="AJ44" s="487"/>
      <c r="AK44" s="487"/>
      <c r="AL44" s="488"/>
      <c r="AM44" s="489" t="s">
        <v>388</v>
      </c>
      <c r="AO44" s="128"/>
      <c r="AP44" s="128" t="str">
        <f t="shared" si="8"/>
        <v xml:space="preserve">Территория действия тарифа</v>
      </c>
      <c r="AQ44" s="128"/>
      <c r="AR44" s="128"/>
    </row>
    <row r="45" ht="23.25" customHeight="1">
      <c r="A45" s="478" t="s">
        <v>194</v>
      </c>
      <c r="B45" s="478" t="s">
        <v>195</v>
      </c>
      <c r="C45" s="478" t="s">
        <v>196</v>
      </c>
      <c r="D45" s="478"/>
      <c r="E45" s="490"/>
      <c r="F45" s="490"/>
      <c r="G45" s="479">
        <v>1</v>
      </c>
      <c r="H45" s="478"/>
      <c r="I45" s="478"/>
      <c r="J45" s="478"/>
      <c r="K45" s="478"/>
      <c r="L45" s="480"/>
      <c r="M45" s="481"/>
      <c r="N45" s="481"/>
      <c r="O45" s="481"/>
      <c r="P45" s="494"/>
      <c r="Q45" s="491"/>
      <c r="R45" s="492"/>
      <c r="S45" s="483" t="str">
        <f>INDEX(PT_DIFFERENTIATION_NUM_CS,MATCH(C45,PT_DIFFERENTIATION_CS_ID,0))</f>
        <v>..</v>
      </c>
      <c r="T45" s="495" t="s">
        <v>389</v>
      </c>
      <c r="U45" s="485"/>
      <c r="V45" s="486"/>
      <c r="W45" s="487"/>
      <c r="X45" s="487"/>
      <c r="Y45" s="487"/>
      <c r="Z45" s="487"/>
      <c r="AA45" s="487"/>
      <c r="AB45" s="487"/>
      <c r="AC45" s="488"/>
      <c r="AD45" s="486" t="str">
        <f>INDEX(PT_DIFFERENTIATION_CS,MATCH(C45,PT_DIFFERENTIATION_CS_ID,0))</f>
        <v/>
      </c>
      <c r="AE45" s="487"/>
      <c r="AF45" s="487"/>
      <c r="AG45" s="487"/>
      <c r="AH45" s="487"/>
      <c r="AI45" s="487"/>
      <c r="AJ45" s="487"/>
      <c r="AK45" s="487"/>
      <c r="AL45" s="488"/>
      <c r="AM45" s="489" t="s">
        <v>390</v>
      </c>
      <c r="AO45" s="128"/>
      <c r="AP45" s="128" t="str">
        <f t="shared" si="8"/>
        <v xml:space="preserve">Наименование системы теплоснабжения</v>
      </c>
      <c r="AQ45" s="128"/>
      <c r="AR45" s="128"/>
    </row>
    <row r="46" ht="21" customHeight="1">
      <c r="A46" s="478" t="s">
        <v>194</v>
      </c>
      <c r="B46" s="478" t="s">
        <v>195</v>
      </c>
      <c r="C46" s="478" t="s">
        <v>196</v>
      </c>
      <c r="D46" s="478" t="s">
        <v>197</v>
      </c>
      <c r="E46" s="490"/>
      <c r="F46" s="490"/>
      <c r="G46" s="490"/>
      <c r="H46" s="479">
        <v>1</v>
      </c>
      <c r="I46" s="478"/>
      <c r="J46" s="478"/>
      <c r="K46" s="478"/>
      <c r="L46" s="480"/>
      <c r="M46" s="481"/>
      <c r="N46" s="481"/>
      <c r="O46" s="481"/>
      <c r="P46" s="494"/>
      <c r="Q46" s="491"/>
      <c r="R46" s="492"/>
      <c r="S46" s="483" t="str">
        <f>INDEX(PT_DIFFERENTIATION_NUM_IST_TE,MATCH(D46,PT_DIFFERENTIATION_IST_TE_ID,0))</f>
        <v>...</v>
      </c>
      <c r="T46" s="496" t="s">
        <v>391</v>
      </c>
      <c r="U46" s="485"/>
      <c r="V46" s="486"/>
      <c r="W46" s="487"/>
      <c r="X46" s="487"/>
      <c r="Y46" s="487"/>
      <c r="Z46" s="487"/>
      <c r="AA46" s="487"/>
      <c r="AB46" s="487"/>
      <c r="AC46" s="488"/>
      <c r="AD46" s="486" t="str">
        <f>INDEX(PT_DIFFERENTIATION_IST_TE,MATCH(D46,PT_DIFFERENTIATION_IST_TE_ID,0))</f>
        <v/>
      </c>
      <c r="AE46" s="487"/>
      <c r="AF46" s="487"/>
      <c r="AG46" s="487"/>
      <c r="AH46" s="487"/>
      <c r="AI46" s="487"/>
      <c r="AJ46" s="487"/>
      <c r="AK46" s="487"/>
      <c r="AL46" s="488"/>
      <c r="AM46" s="489" t="s">
        <v>392</v>
      </c>
      <c r="AO46" s="128"/>
      <c r="AP46" s="128" t="str">
        <f t="shared" si="8"/>
        <v xml:space="preserve">Источник тепловой энергии</v>
      </c>
      <c r="AQ46" s="128"/>
      <c r="AR46" s="128"/>
    </row>
    <row r="47" ht="47.25" customHeight="1">
      <c r="A47" s="478" t="s">
        <v>194</v>
      </c>
      <c r="B47" s="478" t="s">
        <v>195</v>
      </c>
      <c r="C47" s="478" t="s">
        <v>196</v>
      </c>
      <c r="D47" s="478" t="s">
        <v>197</v>
      </c>
      <c r="E47" s="490"/>
      <c r="F47" s="490"/>
      <c r="G47" s="490"/>
      <c r="H47" s="490"/>
      <c r="I47" s="167" t="str">
        <f>S46&amp;".1"</f>
        <v>....1</v>
      </c>
      <c r="J47" s="478"/>
      <c r="K47" s="478"/>
      <c r="L47" s="480" t="s">
        <v>393</v>
      </c>
      <c r="P47" s="131">
        <v>1</v>
      </c>
      <c r="Q47" s="131"/>
      <c r="R47" s="497"/>
      <c r="S47" s="483" t="str">
        <f>$I47</f>
        <v>....1</v>
      </c>
      <c r="T47" s="498" t="s">
        <v>394</v>
      </c>
      <c r="U47" s="485"/>
      <c r="V47" s="430"/>
      <c r="W47" s="499"/>
      <c r="X47" s="499"/>
      <c r="Y47" s="499"/>
      <c r="Z47" s="499"/>
      <c r="AA47" s="499"/>
      <c r="AB47" s="499"/>
      <c r="AC47" s="500"/>
      <c r="AD47" s="430"/>
      <c r="AE47" s="499"/>
      <c r="AF47" s="499"/>
      <c r="AG47" s="499"/>
      <c r="AH47" s="499"/>
      <c r="AI47" s="499"/>
      <c r="AJ47" s="499"/>
      <c r="AK47" s="499"/>
      <c r="AL47" s="500"/>
      <c r="AM47" s="489" t="s">
        <v>395</v>
      </c>
      <c r="AO47" s="128"/>
      <c r="AP47" s="128" t="str">
        <f t="shared" si="8"/>
        <v xml:space="preserve">Схема подключения теплопотребляющей установки к коллектору источника тепловой энергии</v>
      </c>
      <c r="AQ47" s="128"/>
      <c r="AR47" s="128"/>
    </row>
    <row r="48" ht="21" customHeight="1">
      <c r="A48" s="478" t="s">
        <v>194</v>
      </c>
      <c r="B48" s="478" t="s">
        <v>195</v>
      </c>
      <c r="C48" s="478" t="s">
        <v>196</v>
      </c>
      <c r="D48" s="478" t="s">
        <v>197</v>
      </c>
      <c r="E48" s="490"/>
      <c r="F48" s="490"/>
      <c r="G48" s="490"/>
      <c r="H48" s="490"/>
      <c r="I48" s="501"/>
      <c r="J48" s="167" t="str">
        <f>I47&amp;".1"</f>
        <v>....1.1</v>
      </c>
      <c r="K48" s="478"/>
      <c r="L48" s="480" t="s">
        <v>396</v>
      </c>
      <c r="P48" s="131"/>
      <c r="Q48" s="131">
        <v>1</v>
      </c>
      <c r="R48" s="502"/>
      <c r="S48" s="483" t="str">
        <f>$J48</f>
        <v>....1.1</v>
      </c>
      <c r="T48" s="503" t="s">
        <v>397</v>
      </c>
      <c r="U48" s="485"/>
      <c r="V48" s="430"/>
      <c r="W48" s="499"/>
      <c r="X48" s="499"/>
      <c r="Y48" s="499"/>
      <c r="Z48" s="499"/>
      <c r="AA48" s="499"/>
      <c r="AB48" s="499"/>
      <c r="AC48" s="500"/>
      <c r="AD48" s="430"/>
      <c r="AE48" s="499"/>
      <c r="AF48" s="499"/>
      <c r="AG48" s="499"/>
      <c r="AH48" s="499"/>
      <c r="AI48" s="499"/>
      <c r="AJ48" s="499"/>
      <c r="AK48" s="499"/>
      <c r="AL48" s="500"/>
      <c r="AM48" s="489" t="s">
        <v>398</v>
      </c>
      <c r="AO48" s="128"/>
      <c r="AP48" s="128" t="str">
        <f t="shared" si="8"/>
        <v xml:space="preserve">Группа потребителей</v>
      </c>
      <c r="AQ48" s="128"/>
      <c r="AR48" s="128"/>
    </row>
    <row r="49" ht="21" customHeight="1">
      <c r="A49" s="478" t="s">
        <v>194</v>
      </c>
      <c r="B49" s="478" t="s">
        <v>195</v>
      </c>
      <c r="C49" s="478" t="s">
        <v>196</v>
      </c>
      <c r="D49" s="478" t="s">
        <v>197</v>
      </c>
      <c r="E49" s="490"/>
      <c r="F49" s="490"/>
      <c r="G49" s="490"/>
      <c r="H49" s="490"/>
      <c r="I49" s="501"/>
      <c r="J49" s="501"/>
      <c r="K49" s="167" t="str">
        <f>J48&amp;".1"</f>
        <v>....1.1.1</v>
      </c>
      <c r="L49" s="480" t="s">
        <v>399</v>
      </c>
      <c r="P49" s="131"/>
      <c r="Q49" s="131"/>
      <c r="R49" s="502">
        <v>1</v>
      </c>
      <c r="S49" s="483" t="str">
        <f>$K49</f>
        <v>....1.1.1</v>
      </c>
      <c r="T49" s="504"/>
      <c r="U49" s="485"/>
      <c r="V49" s="506"/>
      <c r="W49" s="505"/>
      <c r="X49" s="506"/>
      <c r="Y49" s="573"/>
      <c r="Z49" s="508"/>
      <c r="AA49" s="225" t="s">
        <v>56</v>
      </c>
      <c r="AB49" s="508"/>
      <c r="AC49" s="225" t="s">
        <v>56</v>
      </c>
      <c r="AD49" s="506"/>
      <c r="AE49" s="505"/>
      <c r="AF49" s="506"/>
      <c r="AG49" s="573"/>
      <c r="AH49" s="508"/>
      <c r="AI49" s="225" t="s">
        <v>56</v>
      </c>
      <c r="AJ49" s="568"/>
      <c r="AK49" s="225" t="s">
        <v>56</v>
      </c>
      <c r="AL49" s="569"/>
      <c r="AM49" s="509" t="s">
        <v>400</v>
      </c>
      <c r="AN49" s="57" t="e">
        <f>STRCHECKDATE(V50:AL50)</f>
        <v>#NAME?</v>
      </c>
      <c r="AO49" s="128"/>
      <c r="AP49" s="128" t="str">
        <f t="shared" si="8"/>
        <v/>
      </c>
      <c r="AQ49" s="128"/>
      <c r="AR49" s="128"/>
    </row>
    <row r="50" ht="0.75" customHeight="1">
      <c r="A50" s="478" t="s">
        <v>194</v>
      </c>
      <c r="B50" s="478" t="s">
        <v>195</v>
      </c>
      <c r="C50" s="478" t="s">
        <v>196</v>
      </c>
      <c r="D50" s="478" t="s">
        <v>197</v>
      </c>
      <c r="E50" s="490"/>
      <c r="F50" s="490"/>
      <c r="G50" s="490"/>
      <c r="H50" s="490"/>
      <c r="I50" s="501"/>
      <c r="J50" s="501"/>
      <c r="K50" s="167"/>
      <c r="L50" s="480"/>
      <c r="P50" s="131"/>
      <c r="Q50" s="131"/>
      <c r="R50" s="502"/>
      <c r="S50" s="457"/>
      <c r="T50" s="485"/>
      <c r="U50" s="485"/>
      <c r="V50" s="506"/>
      <c r="W50" s="506"/>
      <c r="X50" s="506"/>
      <c r="Y50" s="510" t="str">
        <f>Z49&amp;"-"&amp;AB49</f>
        <v>-</v>
      </c>
      <c r="Z50" s="511"/>
      <c r="AA50" s="225"/>
      <c r="AB50" s="511"/>
      <c r="AC50" s="225"/>
      <c r="AD50" s="506"/>
      <c r="AE50" s="506"/>
      <c r="AF50" s="506"/>
      <c r="AG50" s="510" t="str">
        <f>AH49&amp;"-"&amp;AJ49</f>
        <v>-</v>
      </c>
      <c r="AH50" s="511"/>
      <c r="AI50" s="225"/>
      <c r="AJ50" s="570"/>
      <c r="AK50" s="225"/>
      <c r="AL50" s="571"/>
      <c r="AM50" s="512"/>
      <c r="AO50" s="128"/>
      <c r="AP50" s="128" t="str">
        <f t="shared" si="8"/>
        <v/>
      </c>
      <c r="AQ50" s="128"/>
      <c r="AR50" s="128"/>
    </row>
    <row r="51" ht="11.25" customHeight="1">
      <c r="A51" s="478" t="s">
        <v>194</v>
      </c>
      <c r="B51" s="478" t="s">
        <v>195</v>
      </c>
      <c r="C51" s="478" t="s">
        <v>196</v>
      </c>
      <c r="D51" s="478" t="s">
        <v>197</v>
      </c>
      <c r="E51" s="490"/>
      <c r="F51" s="490"/>
      <c r="G51" s="490"/>
      <c r="H51" s="490"/>
      <c r="I51" s="501"/>
      <c r="J51" s="167"/>
      <c r="K51" s="478"/>
      <c r="L51" s="480"/>
      <c r="P51" s="131"/>
      <c r="Q51" s="131"/>
      <c r="R51" s="497"/>
      <c r="S51" s="513"/>
      <c r="T51" s="514" t="s">
        <v>401</v>
      </c>
      <c r="U51" s="215"/>
      <c r="V51" s="215"/>
      <c r="W51" s="215"/>
      <c r="X51" s="215"/>
      <c r="Y51" s="215"/>
      <c r="Z51" s="215"/>
      <c r="AA51" s="215"/>
      <c r="AB51" s="215"/>
      <c r="AC51" s="215"/>
      <c r="AD51" s="215"/>
      <c r="AE51" s="215"/>
      <c r="AF51" s="215"/>
      <c r="AG51" s="215"/>
      <c r="AH51" s="215"/>
      <c r="AI51" s="215"/>
      <c r="AJ51" s="215"/>
      <c r="AK51" s="215"/>
      <c r="AL51" s="515"/>
      <c r="AM51" s="516"/>
      <c r="AO51" s="128"/>
      <c r="AP51" s="128" t="str">
        <f t="shared" si="8"/>
        <v xml:space="preserve">Добавить вид теплоносителя (параметры теплоносителя)</v>
      </c>
      <c r="AQ51" s="128"/>
      <c r="AR51" s="128"/>
    </row>
    <row r="52" ht="11.25" customHeight="1">
      <c r="A52" s="478" t="s">
        <v>194</v>
      </c>
      <c r="B52" s="478" t="s">
        <v>195</v>
      </c>
      <c r="C52" s="478" t="s">
        <v>196</v>
      </c>
      <c r="D52" s="478" t="s">
        <v>197</v>
      </c>
      <c r="E52" s="490"/>
      <c r="F52" s="490"/>
      <c r="G52" s="490"/>
      <c r="H52" s="490"/>
      <c r="I52" s="167"/>
      <c r="J52" s="478"/>
      <c r="K52" s="478"/>
      <c r="L52" s="480"/>
      <c r="P52" s="131"/>
      <c r="Q52" s="131"/>
      <c r="R52" s="497"/>
      <c r="S52" s="513"/>
      <c r="T52" s="517" t="s">
        <v>402</v>
      </c>
      <c r="U52" s="215"/>
      <c r="V52" s="215"/>
      <c r="W52" s="215"/>
      <c r="X52" s="215"/>
      <c r="Y52" s="215"/>
      <c r="Z52" s="215"/>
      <c r="AA52" s="215"/>
      <c r="AB52" s="215"/>
      <c r="AC52" s="518"/>
      <c r="AD52" s="215"/>
      <c r="AE52" s="215"/>
      <c r="AF52" s="215"/>
      <c r="AG52" s="215"/>
      <c r="AH52" s="215"/>
      <c r="AI52" s="215"/>
      <c r="AJ52" s="215"/>
      <c r="AK52" s="518"/>
      <c r="AL52" s="215"/>
      <c r="AM52" s="519"/>
      <c r="AO52" s="128"/>
      <c r="AP52" s="128" t="str">
        <f t="shared" si="8"/>
        <v xml:space="preserve">Добавить группу потребителей</v>
      </c>
      <c r="AQ52" s="128"/>
      <c r="AR52" s="128"/>
    </row>
    <row r="53" ht="14.25" customHeight="1">
      <c r="A53" s="478" t="s">
        <v>194</v>
      </c>
      <c r="B53" s="478" t="s">
        <v>195</v>
      </c>
      <c r="C53" s="478" t="s">
        <v>196</v>
      </c>
      <c r="D53" s="478" t="s">
        <v>197</v>
      </c>
      <c r="E53" s="490"/>
      <c r="F53" s="490"/>
      <c r="G53" s="490"/>
      <c r="H53" s="479"/>
      <c r="I53" s="478"/>
      <c r="J53" s="478"/>
      <c r="K53" s="478"/>
      <c r="L53" s="480"/>
      <c r="M53" s="481"/>
      <c r="N53" s="481"/>
      <c r="O53" s="53"/>
      <c r="P53" s="142"/>
      <c r="Q53" s="520"/>
      <c r="R53" s="482"/>
      <c r="S53" s="513"/>
      <c r="T53" s="521" t="s">
        <v>403</v>
      </c>
      <c r="U53" s="215"/>
      <c r="V53" s="215"/>
      <c r="W53" s="215"/>
      <c r="X53" s="215"/>
      <c r="Y53" s="215"/>
      <c r="Z53" s="215"/>
      <c r="AA53" s="215"/>
      <c r="AB53" s="215"/>
      <c r="AC53" s="518"/>
      <c r="AD53" s="215"/>
      <c r="AE53" s="215"/>
      <c r="AF53" s="215"/>
      <c r="AG53" s="215"/>
      <c r="AH53" s="215"/>
      <c r="AI53" s="215"/>
      <c r="AJ53" s="215"/>
      <c r="AK53" s="518"/>
      <c r="AL53" s="215"/>
      <c r="AM53" s="519"/>
      <c r="AO53" s="128"/>
      <c r="AP53" s="128" t="str">
        <f t="shared" si="8"/>
        <v xml:space="preserve">Добавить схему подключения</v>
      </c>
      <c r="AQ53" s="128"/>
      <c r="AR53" s="128"/>
    </row>
    <row r="54" s="57" customFormat="1" ht="0.75" customHeight="1">
      <c r="A54" s="132" t="s">
        <v>194</v>
      </c>
      <c r="B54" s="132" t="s">
        <v>195</v>
      </c>
      <c r="C54" s="132" t="s">
        <v>196</v>
      </c>
      <c r="D54" s="132"/>
      <c r="E54" s="490"/>
      <c r="F54" s="490"/>
      <c r="G54" s="479"/>
      <c r="H54" s="132"/>
      <c r="I54" s="132"/>
      <c r="J54" s="132"/>
      <c r="K54" s="132"/>
      <c r="L54" s="213"/>
      <c r="M54" s="463"/>
      <c r="N54" s="463"/>
      <c r="P54" s="166"/>
      <c r="Q54" s="522"/>
      <c r="R54" s="166"/>
      <c r="S54" s="527"/>
      <c r="T54" s="530" t="s">
        <v>404</v>
      </c>
      <c r="U54" s="529"/>
      <c r="V54" s="529"/>
      <c r="W54" s="529"/>
      <c r="X54" s="529"/>
      <c r="Y54" s="529"/>
      <c r="Z54" s="529"/>
      <c r="AA54" s="529"/>
      <c r="AB54" s="529"/>
      <c r="AC54" s="529"/>
      <c r="AD54" s="529"/>
      <c r="AE54" s="529"/>
      <c r="AF54" s="529"/>
      <c r="AG54" s="529"/>
      <c r="AH54" s="529"/>
      <c r="AI54" s="529"/>
      <c r="AJ54" s="529"/>
      <c r="AK54" s="529"/>
      <c r="AL54" s="529"/>
      <c r="AM54" s="529"/>
      <c r="AO54" s="128"/>
      <c r="AP54" s="128" t="str">
        <f t="shared" si="8"/>
        <v xml:space="preserve">Добавить источник для дифференциации</v>
      </c>
      <c r="AQ54" s="128"/>
      <c r="AR54" s="128"/>
    </row>
    <row r="55" s="57" customFormat="1" ht="0.75" customHeight="1">
      <c r="A55" s="132" t="s">
        <v>194</v>
      </c>
      <c r="B55" s="132" t="s">
        <v>195</v>
      </c>
      <c r="C55" s="132"/>
      <c r="D55" s="132"/>
      <c r="E55" s="490"/>
      <c r="F55" s="479"/>
      <c r="G55" s="132"/>
      <c r="H55" s="132"/>
      <c r="I55" s="132"/>
      <c r="J55" s="132"/>
      <c r="K55" s="132"/>
      <c r="L55" s="213"/>
      <c r="M55" s="526"/>
      <c r="N55" s="526"/>
      <c r="P55" s="166"/>
      <c r="Q55" s="522"/>
      <c r="R55" s="166"/>
      <c r="S55" s="527"/>
      <c r="T55" s="530" t="s">
        <v>405</v>
      </c>
      <c r="U55" s="529"/>
      <c r="V55" s="529"/>
      <c r="W55" s="529"/>
      <c r="X55" s="529"/>
      <c r="Y55" s="529"/>
      <c r="Z55" s="529"/>
      <c r="AA55" s="529"/>
      <c r="AB55" s="529"/>
      <c r="AC55" s="529"/>
      <c r="AD55" s="529"/>
      <c r="AE55" s="529"/>
      <c r="AF55" s="529"/>
      <c r="AG55" s="529"/>
      <c r="AH55" s="529"/>
      <c r="AI55" s="529"/>
      <c r="AJ55" s="529"/>
      <c r="AK55" s="529"/>
      <c r="AL55" s="529"/>
      <c r="AM55" s="529"/>
      <c r="AO55" s="128"/>
      <c r="AP55" s="128" t="str">
        <f t="shared" si="8"/>
        <v xml:space="preserve">Добавить централизованную систему для дифференциации</v>
      </c>
      <c r="AQ55" s="128"/>
      <c r="AR55" s="128"/>
    </row>
    <row r="56" s="57" customFormat="1" ht="0.75" customHeight="1">
      <c r="A56" s="132" t="s">
        <v>194</v>
      </c>
      <c r="B56" s="132"/>
      <c r="C56" s="132"/>
      <c r="D56" s="132"/>
      <c r="E56" s="479"/>
      <c r="F56" s="132"/>
      <c r="G56" s="132"/>
      <c r="H56" s="132"/>
      <c r="I56" s="132"/>
      <c r="J56" s="132"/>
      <c r="K56" s="132"/>
      <c r="L56" s="213"/>
      <c r="M56" s="526"/>
      <c r="N56" s="526"/>
      <c r="O56" s="57"/>
      <c r="P56" s="166"/>
      <c r="Q56" s="522"/>
      <c r="R56" s="166"/>
      <c r="S56" s="527"/>
      <c r="T56" s="530" t="s">
        <v>406</v>
      </c>
      <c r="U56" s="529"/>
      <c r="V56" s="529"/>
      <c r="W56" s="529"/>
      <c r="X56" s="529"/>
      <c r="Y56" s="529"/>
      <c r="Z56" s="529"/>
      <c r="AA56" s="529"/>
      <c r="AB56" s="529"/>
      <c r="AC56" s="529"/>
      <c r="AD56" s="529"/>
      <c r="AE56" s="529"/>
      <c r="AF56" s="529"/>
      <c r="AG56" s="529"/>
      <c r="AH56" s="529"/>
      <c r="AI56" s="529"/>
      <c r="AJ56" s="529"/>
      <c r="AK56" s="529"/>
      <c r="AL56" s="529"/>
      <c r="AM56" s="529"/>
      <c r="AO56" s="128"/>
      <c r="AP56" s="128" t="str">
        <f t="shared" si="8"/>
        <v xml:space="preserve">Добавить территорию для дифференциации</v>
      </c>
      <c r="AQ56" s="128"/>
      <c r="AR56" s="128"/>
    </row>
    <row r="57" s="57" customFormat="1" ht="0.75" customHeight="1">
      <c r="A57" s="132"/>
      <c r="B57" s="132"/>
      <c r="C57" s="132"/>
      <c r="D57" s="132"/>
      <c r="E57" s="132"/>
      <c r="F57" s="132"/>
      <c r="G57" s="132"/>
      <c r="H57" s="132"/>
      <c r="I57" s="132"/>
      <c r="J57" s="132"/>
      <c r="K57" s="132"/>
      <c r="L57" s="213"/>
      <c r="M57" s="526"/>
      <c r="N57" s="526"/>
      <c r="P57" s="166"/>
      <c r="Q57" s="522"/>
      <c r="R57" s="166"/>
      <c r="S57" s="527"/>
      <c r="T57" s="530" t="s">
        <v>438</v>
      </c>
      <c r="U57" s="529"/>
      <c r="V57" s="529"/>
      <c r="W57" s="529"/>
      <c r="X57" s="529"/>
      <c r="Y57" s="529"/>
      <c r="Z57" s="529"/>
      <c r="AA57" s="529"/>
      <c r="AB57" s="529"/>
      <c r="AC57" s="529"/>
      <c r="AD57" s="529"/>
      <c r="AE57" s="529"/>
      <c r="AF57" s="529"/>
      <c r="AG57" s="529"/>
      <c r="AH57" s="529"/>
      <c r="AI57" s="529"/>
      <c r="AJ57" s="529"/>
      <c r="AK57" s="529"/>
      <c r="AL57" s="529"/>
      <c r="AM57" s="529"/>
      <c r="AO57" s="128"/>
      <c r="AP57" s="128" t="str">
        <f t="shared" si="8"/>
        <v xml:space="preserve">Добавить наименование тарифа</v>
      </c>
      <c r="AQ57" s="128"/>
      <c r="AR57" s="128"/>
    </row>
    <row r="58" ht="11.25" customHeight="1">
      <c r="M58" s="53"/>
      <c r="N58" s="53"/>
      <c r="O58" s="53"/>
      <c r="P58" s="50"/>
      <c r="Q58" s="50"/>
      <c r="R58" s="50"/>
      <c r="S58" s="50"/>
      <c r="AN58" s="50"/>
      <c r="AO58" s="50"/>
      <c r="AP58" s="50"/>
      <c r="AQ58" s="50"/>
      <c r="AR58" s="50"/>
    </row>
    <row r="59" ht="27" customHeight="1">
      <c r="O59" s="53"/>
      <c r="S59" s="475"/>
      <c r="T59" s="572"/>
      <c r="U59" s="572"/>
      <c r="V59" s="572"/>
      <c r="W59" s="572"/>
      <c r="X59" s="572"/>
      <c r="Y59" s="572"/>
      <c r="Z59" s="572"/>
      <c r="AA59" s="572"/>
      <c r="AB59" s="572"/>
      <c r="AC59" s="572"/>
      <c r="AD59" s="572"/>
      <c r="AE59" s="572"/>
      <c r="AF59" s="572"/>
      <c r="AG59" s="572"/>
      <c r="AH59" s="572"/>
      <c r="AI59" s="572"/>
      <c r="AJ59" s="572"/>
      <c r="AK59" s="572"/>
      <c r="AL59" s="572"/>
      <c r="AM59" s="572"/>
    </row>
    <row r="60" ht="75" customHeight="1">
      <c r="O60" s="53"/>
      <c r="T60" s="572"/>
      <c r="U60" s="572"/>
      <c r="V60" s="572"/>
      <c r="W60" s="572"/>
      <c r="X60" s="572"/>
      <c r="Y60" s="572"/>
      <c r="Z60" s="572"/>
      <c r="AA60" s="572"/>
      <c r="AB60" s="572"/>
      <c r="AC60" s="572"/>
      <c r="AD60" s="572"/>
      <c r="AE60" s="572"/>
      <c r="AF60" s="572"/>
      <c r="AG60" s="572"/>
      <c r="AH60" s="572"/>
      <c r="AI60" s="572"/>
      <c r="AJ60" s="572"/>
      <c r="AK60" s="572"/>
      <c r="AL60" s="572"/>
      <c r="AM60" s="572"/>
    </row>
    <row r="61" ht="14.25" customHeight="1">
      <c r="O61" s="53"/>
    </row>
    <row r="62" ht="18" customHeight="1">
      <c r="O62" s="53"/>
      <c r="S62" s="475"/>
      <c r="T62" s="572"/>
      <c r="U62" s="572"/>
      <c r="V62" s="572"/>
      <c r="W62" s="572"/>
      <c r="X62" s="572"/>
      <c r="Y62" s="572"/>
      <c r="Z62" s="572"/>
      <c r="AA62" s="572"/>
      <c r="AB62" s="572"/>
      <c r="AC62" s="572"/>
      <c r="AD62" s="572"/>
      <c r="AE62" s="572"/>
      <c r="AF62" s="572"/>
      <c r="AG62" s="572"/>
      <c r="AH62" s="572"/>
      <c r="AI62" s="572"/>
      <c r="AJ62" s="572"/>
      <c r="AK62" s="572"/>
      <c r="AL62" s="572"/>
      <c r="AM62" s="572"/>
    </row>
    <row r="63" ht="18" customHeight="1">
      <c r="O63" s="53"/>
      <c r="T63" s="572"/>
      <c r="U63" s="572"/>
      <c r="V63" s="572"/>
      <c r="W63" s="572"/>
      <c r="X63" s="572"/>
      <c r="Y63" s="572"/>
      <c r="Z63" s="572"/>
      <c r="AA63" s="572"/>
      <c r="AB63" s="572"/>
      <c r="AC63" s="572"/>
      <c r="AD63" s="572"/>
      <c r="AE63" s="572"/>
      <c r="AF63" s="572"/>
      <c r="AG63" s="572"/>
      <c r="AH63" s="572"/>
      <c r="AI63" s="572"/>
      <c r="AJ63" s="572"/>
      <c r="AK63" s="572"/>
      <c r="AL63" s="572"/>
      <c r="AM63" s="572"/>
    </row>
    <row r="64" ht="38.25" customHeight="1">
      <c r="O64" s="53"/>
      <c r="S64" s="475"/>
      <c r="T64" s="572"/>
      <c r="U64" s="572"/>
      <c r="V64" s="572"/>
      <c r="W64" s="572"/>
      <c r="X64" s="572"/>
      <c r="Y64" s="572"/>
      <c r="Z64" s="572"/>
      <c r="AA64" s="572"/>
      <c r="AB64" s="572"/>
      <c r="AC64" s="572"/>
      <c r="AD64" s="572"/>
      <c r="AE64" s="572"/>
      <c r="AF64" s="572"/>
      <c r="AG64" s="572"/>
      <c r="AH64" s="572"/>
      <c r="AI64" s="572"/>
      <c r="AJ64" s="572"/>
      <c r="AK64" s="572"/>
      <c r="AL64" s="572"/>
      <c r="AM64" s="572"/>
    </row>
  </sheetData>
  <sheetProtection autoFilter="0" deleteColumns="0" deleteRows="0" formatCells="1" formatColumns="0" formatRows="0" insertColumns="1" insertHyperlinks="1" insertRows="0" pivotTables="1" selectLockedCells="0" selectUnlockedCells="0" sheet="0" sort="0"/>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D009B-00A3-48CE-8AC1-00BF00E0002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9E0025-00D1-46AE-A3FB-00E3002500E8}"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160043-0085-4BB2-84D6-00ED00BF00C7}"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7F0018-0033-4E35-A808-007600500066}"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Q25"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0" width="3.7109375"/>
    <col customWidth="1" min="17" max="18" style="477" width="3.7109375"/>
    <col customWidth="1" min="19" max="19" style="322" width="12.7109375"/>
    <col customWidth="1" min="20" max="20" style="50" width="32.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7109375"/>
    <col customWidth="1" min="34" max="34" style="50" width="11.7109375"/>
    <col customWidth="1" min="35" max="35" style="50" width="3.7109375"/>
    <col customWidth="1" min="36" max="36" style="50" width="11.7109375"/>
    <col customWidth="1" hidden="1" min="37" max="37" style="50" width="8.57421875"/>
    <col customWidth="1" min="38" max="38" style="50" width="4.7109375"/>
    <col customWidth="1" min="39" max="39" style="50" width="115.7109375"/>
    <col min="40" max="41" style="57" width="10.57421875"/>
    <col customWidth="1" min="42" max="42" style="57" width="11.140625"/>
    <col min="43" max="44" style="57" width="10.57421875"/>
  </cols>
  <sheetData>
    <row r="1" ht="14.25" hidden="1" customHeight="1">
      <c r="Y1" s="50"/>
      <c r="Z1" s="50"/>
      <c r="AG1" s="50"/>
      <c r="AH1" s="50"/>
    </row>
    <row r="2" ht="21"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7"/>
      <c r="AC2" s="488"/>
      <c r="AD2" s="486" t="e">
        <f>INDEX(PT_DIFFERENTIATION_NTAR,MATCH(A2,PT_DIFFERENTIATION_NTAR_ID,0))</f>
        <v>#VALUE!</v>
      </c>
      <c r="AE2" s="487"/>
      <c r="AF2" s="487"/>
      <c r="AG2" s="487"/>
      <c r="AH2" s="487"/>
      <c r="AI2" s="487"/>
      <c r="AJ2" s="487"/>
      <c r="AK2" s="487"/>
      <c r="AL2" s="488"/>
      <c r="AM2" s="489" t="s">
        <v>386</v>
      </c>
      <c r="AO2" s="128"/>
      <c r="AP2" s="128" t="str">
        <f t="shared" ref="AP2:AP9" si="9">IF(T2="","",T2)</f>
        <v xml:space="preserve">Наименование тарифа</v>
      </c>
      <c r="AQ2" s="128"/>
      <c r="AR2" s="128"/>
    </row>
    <row r="3" ht="21"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7"/>
      <c r="AC3" s="488"/>
      <c r="AD3" s="486" t="e">
        <f>INDEX(PT_DIFFERENTIATION_TER,MATCH(B3,PT_DIFFERENTIATION_TER_ID,0))</f>
        <v>#VALUE!</v>
      </c>
      <c r="AE3" s="487"/>
      <c r="AF3" s="487"/>
      <c r="AG3" s="487"/>
      <c r="AH3" s="487"/>
      <c r="AI3" s="487"/>
      <c r="AJ3" s="487"/>
      <c r="AK3" s="487"/>
      <c r="AL3" s="488"/>
      <c r="AM3" s="489" t="s">
        <v>388</v>
      </c>
      <c r="AO3" s="128"/>
      <c r="AP3" s="128" t="str">
        <f t="shared" si="9"/>
        <v xml:space="preserve">Территория действия тарифа</v>
      </c>
      <c r="AQ3" s="128"/>
      <c r="AR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389</v>
      </c>
      <c r="U4" s="485"/>
      <c r="V4" s="486"/>
      <c r="W4" s="487"/>
      <c r="X4" s="487"/>
      <c r="Y4" s="487"/>
      <c r="Z4" s="487"/>
      <c r="AA4" s="487"/>
      <c r="AB4" s="487"/>
      <c r="AC4" s="488"/>
      <c r="AD4" s="486" t="e">
        <f>INDEX(PT_DIFFERENTIATION_CS,MATCH(C4,PT_DIFFERENTIATION_CS_ID,0))</f>
        <v>#VALUE!</v>
      </c>
      <c r="AE4" s="487"/>
      <c r="AF4" s="487"/>
      <c r="AG4" s="487"/>
      <c r="AH4" s="487"/>
      <c r="AI4" s="487"/>
      <c r="AJ4" s="487"/>
      <c r="AK4" s="487"/>
      <c r="AL4" s="488"/>
      <c r="AM4" s="489" t="s">
        <v>390</v>
      </c>
      <c r="AO4" s="128"/>
      <c r="AP4" s="128" t="str">
        <f t="shared" si="9"/>
        <v xml:space="preserve">Наименование системы теплоснабжения</v>
      </c>
      <c r="AQ4" s="128"/>
      <c r="AR4" s="128"/>
    </row>
    <row r="5" ht="21" hidden="1" customHeight="1">
      <c r="A5" s="478"/>
      <c r="B5" s="478"/>
      <c r="C5" s="478"/>
      <c r="D5" s="478"/>
      <c r="E5" s="490"/>
      <c r="F5" s="490"/>
      <c r="G5" s="490"/>
      <c r="H5" s="479">
        <v>1</v>
      </c>
      <c r="I5" s="478"/>
      <c r="J5" s="478"/>
      <c r="K5" s="478"/>
      <c r="L5" s="480"/>
      <c r="M5" s="481"/>
      <c r="N5" s="481"/>
      <c r="O5" s="481"/>
      <c r="P5" s="494"/>
      <c r="Q5" s="491"/>
      <c r="R5" s="492"/>
      <c r="S5" s="483" t="e">
        <f>INDEX(PT_DIFFERENTIATION_NUM_IST_TE,MATCH(D5,PT_DIFFERENTIATION_IST_TE_ID,0))</f>
        <v>#VALUE!</v>
      </c>
      <c r="T5" s="496" t="s">
        <v>391</v>
      </c>
      <c r="U5" s="485"/>
      <c r="V5" s="486"/>
      <c r="W5" s="487"/>
      <c r="X5" s="487"/>
      <c r="Y5" s="487"/>
      <c r="Z5" s="487"/>
      <c r="AA5" s="487"/>
      <c r="AB5" s="487"/>
      <c r="AC5" s="488"/>
      <c r="AD5" s="486" t="e">
        <f>INDEX(PT_DIFFERENTIATION_IST_TE,MATCH(D5,PT_DIFFERENTIATION_IST_TE_ID,0))</f>
        <v>#VALUE!</v>
      </c>
      <c r="AE5" s="487"/>
      <c r="AF5" s="487"/>
      <c r="AG5" s="487"/>
      <c r="AH5" s="487"/>
      <c r="AI5" s="487"/>
      <c r="AJ5" s="487"/>
      <c r="AK5" s="487"/>
      <c r="AL5" s="488"/>
      <c r="AM5" s="489" t="s">
        <v>392</v>
      </c>
      <c r="AO5" s="128"/>
      <c r="AP5" s="128" t="str">
        <f t="shared" si="9"/>
        <v xml:space="preserve">Источник тепловой энергии</v>
      </c>
      <c r="AQ5" s="128"/>
      <c r="AR5" s="128"/>
    </row>
    <row r="6" ht="14.25" hidden="1" customHeight="1">
      <c r="A6" s="478"/>
      <c r="B6" s="478"/>
      <c r="C6" s="478"/>
      <c r="D6" s="478"/>
      <c r="E6" s="490"/>
      <c r="F6" s="490"/>
      <c r="G6" s="490"/>
      <c r="H6" s="490"/>
      <c r="I6" s="167" t="e">
        <f>S5&amp;".1"</f>
        <v>#VALUE!</v>
      </c>
      <c r="J6" s="478"/>
      <c r="K6" s="478"/>
      <c r="L6" s="480" t="s">
        <v>393</v>
      </c>
      <c r="M6" s="53"/>
      <c r="P6" s="131">
        <v>1</v>
      </c>
      <c r="Q6" s="131"/>
      <c r="R6" s="497"/>
      <c r="S6" s="351"/>
      <c r="T6" s="576"/>
      <c r="U6" s="577"/>
      <c r="V6" s="578"/>
      <c r="W6" s="579"/>
      <c r="X6" s="579"/>
      <c r="Y6" s="579"/>
      <c r="Z6" s="579"/>
      <c r="AA6" s="579"/>
      <c r="AB6" s="579"/>
      <c r="AC6" s="580"/>
      <c r="AD6" s="578"/>
      <c r="AE6" s="579"/>
      <c r="AF6" s="579"/>
      <c r="AG6" s="579"/>
      <c r="AH6" s="579"/>
      <c r="AI6" s="579"/>
      <c r="AJ6" s="579"/>
      <c r="AK6" s="579"/>
      <c r="AL6" s="580"/>
      <c r="AM6" s="581"/>
      <c r="AO6" s="128"/>
      <c r="AP6" s="128" t="str">
        <f t="shared" si="9"/>
        <v/>
      </c>
      <c r="AQ6" s="128"/>
      <c r="AR6" s="128"/>
    </row>
    <row r="7" ht="21" hidden="1" customHeight="1">
      <c r="A7" s="478"/>
      <c r="B7" s="478"/>
      <c r="C7" s="478"/>
      <c r="D7" s="478"/>
      <c r="E7" s="490"/>
      <c r="F7" s="490"/>
      <c r="G7" s="490"/>
      <c r="H7" s="490"/>
      <c r="I7" s="501"/>
      <c r="J7" s="167" t="e">
        <f>I6&amp;".1"</f>
        <v>#VALUE!</v>
      </c>
      <c r="K7" s="478"/>
      <c r="L7" s="480" t="s">
        <v>396</v>
      </c>
      <c r="M7" s="53"/>
      <c r="N7" s="53"/>
      <c r="P7" s="131"/>
      <c r="Q7" s="131">
        <v>1</v>
      </c>
      <c r="R7" s="502"/>
      <c r="S7" s="483" t="e">
        <f>$J7</f>
        <v>#VALUE!</v>
      </c>
      <c r="T7" s="503" t="s">
        <v>397</v>
      </c>
      <c r="U7" s="485"/>
      <c r="V7" s="430"/>
      <c r="W7" s="499"/>
      <c r="X7" s="499"/>
      <c r="Y7" s="499"/>
      <c r="Z7" s="499"/>
      <c r="AA7" s="499"/>
      <c r="AB7" s="499"/>
      <c r="AC7" s="500"/>
      <c r="AD7" s="430"/>
      <c r="AE7" s="499"/>
      <c r="AF7" s="499"/>
      <c r="AG7" s="499"/>
      <c r="AH7" s="499"/>
      <c r="AI7" s="499"/>
      <c r="AJ7" s="499"/>
      <c r="AK7" s="499"/>
      <c r="AL7" s="500"/>
      <c r="AM7" s="489" t="s">
        <v>398</v>
      </c>
      <c r="AO7" s="128"/>
      <c r="AP7" s="128" t="str">
        <f t="shared" si="9"/>
        <v xml:space="preserve">Группа потребителей</v>
      </c>
      <c r="AQ7" s="128"/>
      <c r="AR7" s="128"/>
    </row>
    <row r="8" ht="21" hidden="1" customHeight="1">
      <c r="A8" s="478"/>
      <c r="B8" s="478"/>
      <c r="C8" s="478"/>
      <c r="D8" s="478"/>
      <c r="E8" s="490"/>
      <c r="F8" s="490"/>
      <c r="G8" s="490"/>
      <c r="H8" s="490"/>
      <c r="I8" s="501"/>
      <c r="J8" s="501"/>
      <c r="K8" s="167" t="e">
        <f>J7&amp;".1"</f>
        <v>#VALUE!</v>
      </c>
      <c r="L8" s="480" t="s">
        <v>399</v>
      </c>
      <c r="M8" s="53"/>
      <c r="N8" s="53"/>
      <c r="O8" s="53"/>
      <c r="P8" s="131"/>
      <c r="Q8" s="131"/>
      <c r="R8" s="502">
        <v>1</v>
      </c>
      <c r="S8" s="483" t="e">
        <f>$K8</f>
        <v>#VALUE!</v>
      </c>
      <c r="T8" s="504"/>
      <c r="U8" s="485"/>
      <c r="V8" s="505"/>
      <c r="W8" s="506"/>
      <c r="X8" s="505"/>
      <c r="Y8" s="507"/>
      <c r="Z8" s="508"/>
      <c r="AA8" s="225" t="s">
        <v>56</v>
      </c>
      <c r="AB8" s="508"/>
      <c r="AC8" s="225" t="s">
        <v>56</v>
      </c>
      <c r="AD8" s="505"/>
      <c r="AE8" s="506"/>
      <c r="AF8" s="505"/>
      <c r="AG8" s="507"/>
      <c r="AH8" s="508"/>
      <c r="AI8" s="225" t="s">
        <v>56</v>
      </c>
      <c r="AJ8" s="508"/>
      <c r="AK8" s="225" t="s">
        <v>56</v>
      </c>
      <c r="AL8" s="506"/>
      <c r="AM8" s="509" t="s">
        <v>400</v>
      </c>
      <c r="AN8" s="57" t="e">
        <f>STRCHECKDATE(V9:AL9)</f>
        <v>#NAME?</v>
      </c>
      <c r="AO8" s="128"/>
      <c r="AP8" s="128" t="str">
        <f t="shared" si="9"/>
        <v/>
      </c>
      <c r="AQ8" s="128"/>
      <c r="AR8" s="128"/>
    </row>
    <row r="9" ht="0.75" hidden="1" customHeight="1">
      <c r="A9" s="478"/>
      <c r="B9" s="478"/>
      <c r="C9" s="478"/>
      <c r="D9" s="478"/>
      <c r="E9" s="490"/>
      <c r="F9" s="490"/>
      <c r="G9" s="490"/>
      <c r="H9" s="490"/>
      <c r="I9" s="501"/>
      <c r="J9" s="501"/>
      <c r="K9" s="167"/>
      <c r="L9" s="480"/>
      <c r="M9" s="53"/>
      <c r="N9" s="53"/>
      <c r="O9" s="53"/>
      <c r="P9" s="131"/>
      <c r="Q9" s="131"/>
      <c r="R9" s="502"/>
      <c r="S9" s="457"/>
      <c r="T9" s="485"/>
      <c r="U9" s="485"/>
      <c r="V9" s="506"/>
      <c r="W9" s="506"/>
      <c r="X9" s="506"/>
      <c r="Y9" s="510" t="str">
        <f>Z8&amp;"-"&amp;AB8</f>
        <v>-</v>
      </c>
      <c r="Z9" s="511"/>
      <c r="AA9" s="225"/>
      <c r="AB9" s="511"/>
      <c r="AC9" s="225"/>
      <c r="AD9" s="506"/>
      <c r="AE9" s="506"/>
      <c r="AF9" s="506"/>
      <c r="AG9" s="510" t="str">
        <f>AH8&amp;"-"&amp;AJ8</f>
        <v>-</v>
      </c>
      <c r="AH9" s="511"/>
      <c r="AI9" s="225"/>
      <c r="AJ9" s="511"/>
      <c r="AK9" s="225"/>
      <c r="AL9" s="506"/>
      <c r="AM9" s="512"/>
      <c r="AO9" s="128"/>
      <c r="AP9" s="128" t="str">
        <f t="shared" si="9"/>
        <v/>
      </c>
      <c r="AQ9" s="128"/>
      <c r="AR9" s="128"/>
    </row>
    <row r="10" ht="15" hidden="1" customHeight="1">
      <c r="A10" s="478"/>
      <c r="B10" s="478"/>
      <c r="C10" s="478"/>
      <c r="D10" s="478"/>
      <c r="E10" s="490"/>
      <c r="F10" s="490"/>
      <c r="G10" s="490"/>
      <c r="H10" s="490"/>
      <c r="I10" s="501"/>
      <c r="J10" s="167"/>
      <c r="K10" s="478"/>
      <c r="L10" s="480"/>
      <c r="M10" s="53"/>
      <c r="N10" s="53"/>
      <c r="P10" s="131"/>
      <c r="Q10" s="131"/>
      <c r="R10" s="497"/>
      <c r="S10" s="513"/>
      <c r="T10" s="517" t="s">
        <v>401</v>
      </c>
      <c r="U10" s="215"/>
      <c r="V10" s="215"/>
      <c r="W10" s="215"/>
      <c r="X10" s="215"/>
      <c r="Y10" s="215"/>
      <c r="Z10" s="215"/>
      <c r="AA10" s="215"/>
      <c r="AB10" s="215"/>
      <c r="AC10" s="215"/>
      <c r="AD10" s="215"/>
      <c r="AE10" s="215"/>
      <c r="AF10" s="215"/>
      <c r="AG10" s="215"/>
      <c r="AH10" s="215"/>
      <c r="AI10" s="215"/>
      <c r="AJ10" s="215"/>
      <c r="AK10" s="215"/>
      <c r="AL10" s="515"/>
      <c r="AM10" s="516"/>
      <c r="AO10" s="128"/>
      <c r="AP10" s="128" t="str">
        <f t="shared" ref="AP10:AP57" si="10">IF(T10="","",T10)</f>
        <v xml:space="preserve">Добавить вид теплоносителя (параметры теплоносителя)</v>
      </c>
      <c r="AQ10" s="128"/>
      <c r="AR10" s="128"/>
    </row>
    <row r="11" ht="15" hidden="1" customHeight="1">
      <c r="A11" s="478"/>
      <c r="B11" s="478"/>
      <c r="C11" s="478"/>
      <c r="D11" s="478"/>
      <c r="E11" s="490"/>
      <c r="F11" s="490"/>
      <c r="G11" s="490"/>
      <c r="H11" s="490"/>
      <c r="I11" s="167"/>
      <c r="J11" s="478"/>
      <c r="K11" s="478"/>
      <c r="L11" s="480"/>
      <c r="M11" s="53"/>
      <c r="P11" s="131"/>
      <c r="Q11" s="131"/>
      <c r="R11" s="497"/>
      <c r="S11" s="513"/>
      <c r="T11" s="521" t="s">
        <v>402</v>
      </c>
      <c r="U11" s="215"/>
      <c r="V11" s="215"/>
      <c r="W11" s="215"/>
      <c r="X11" s="215"/>
      <c r="Y11" s="215"/>
      <c r="Z11" s="215"/>
      <c r="AA11" s="215"/>
      <c r="AB11" s="215"/>
      <c r="AC11" s="518"/>
      <c r="AD11" s="215"/>
      <c r="AE11" s="215"/>
      <c r="AF11" s="215"/>
      <c r="AG11" s="215"/>
      <c r="AH11" s="215"/>
      <c r="AI11" s="215"/>
      <c r="AJ11" s="215"/>
      <c r="AK11" s="518"/>
      <c r="AL11" s="215"/>
      <c r="AM11" s="519"/>
      <c r="AO11" s="128"/>
      <c r="AP11" s="128" t="str">
        <f t="shared" si="10"/>
        <v xml:space="preserve">Добавить группу потребителей</v>
      </c>
      <c r="AQ11" s="128"/>
      <c r="AR11" s="128"/>
    </row>
    <row r="12" ht="14.25" hidden="1" customHeight="1">
      <c r="A12" s="478"/>
      <c r="B12" s="478"/>
      <c r="C12" s="478"/>
      <c r="D12" s="478"/>
      <c r="E12" s="490"/>
      <c r="F12" s="490"/>
      <c r="G12" s="490"/>
      <c r="H12" s="479"/>
      <c r="I12" s="478"/>
      <c r="J12" s="478"/>
      <c r="K12" s="478"/>
      <c r="L12" s="480"/>
      <c r="M12" s="481"/>
      <c r="N12" s="481"/>
      <c r="O12" s="53"/>
      <c r="P12" s="142"/>
      <c r="Q12" s="520"/>
      <c r="R12" s="482"/>
      <c r="S12" s="582"/>
      <c r="T12" s="583"/>
      <c r="U12" s="584"/>
      <c r="V12" s="584"/>
      <c r="W12" s="584"/>
      <c r="X12" s="584"/>
      <c r="Y12" s="584"/>
      <c r="Z12" s="584"/>
      <c r="AA12" s="584"/>
      <c r="AB12" s="584"/>
      <c r="AC12" s="584"/>
      <c r="AD12" s="584"/>
      <c r="AE12" s="584"/>
      <c r="AF12" s="584"/>
      <c r="AG12" s="584"/>
      <c r="AH12" s="584"/>
      <c r="AI12" s="584"/>
      <c r="AJ12" s="584"/>
      <c r="AK12" s="584"/>
      <c r="AL12" s="584"/>
      <c r="AM12" s="585"/>
      <c r="AO12" s="128"/>
      <c r="AP12" s="128" t="str">
        <f t="shared" si="10"/>
        <v/>
      </c>
      <c r="AQ12" s="128"/>
      <c r="AR12" s="128"/>
    </row>
    <row r="13" s="57" customFormat="1" ht="0.75" hidden="1" customHeight="1">
      <c r="A13" s="132"/>
      <c r="B13" s="132"/>
      <c r="C13" s="132"/>
      <c r="D13" s="132"/>
      <c r="E13" s="490"/>
      <c r="F13" s="490"/>
      <c r="G13" s="479"/>
      <c r="H13" s="132"/>
      <c r="I13" s="132"/>
      <c r="J13" s="132"/>
      <c r="K13" s="132"/>
      <c r="L13" s="213"/>
      <c r="M13" s="463"/>
      <c r="N13" s="463"/>
      <c r="P13" s="166"/>
      <c r="Q13" s="522"/>
      <c r="R13" s="166"/>
      <c r="S13" s="523"/>
      <c r="T13" s="524" t="s">
        <v>404</v>
      </c>
      <c r="U13" s="525"/>
      <c r="V13" s="525"/>
      <c r="W13" s="525"/>
      <c r="X13" s="525"/>
      <c r="Y13" s="525"/>
      <c r="Z13" s="525"/>
      <c r="AA13" s="525"/>
      <c r="AB13" s="525"/>
      <c r="AC13" s="525"/>
      <c r="AD13" s="525"/>
      <c r="AE13" s="525"/>
      <c r="AF13" s="525"/>
      <c r="AG13" s="525"/>
      <c r="AH13" s="525"/>
      <c r="AI13" s="525"/>
      <c r="AJ13" s="525"/>
      <c r="AK13" s="525"/>
      <c r="AL13" s="525"/>
      <c r="AM13" s="525"/>
      <c r="AO13" s="128"/>
      <c r="AP13" s="128" t="str">
        <f t="shared" si="10"/>
        <v xml:space="preserve">Добавить источник для дифференциации</v>
      </c>
      <c r="AQ13" s="128"/>
      <c r="AR13" s="128"/>
    </row>
    <row r="14" s="57" customFormat="1" ht="0.75" hidden="1" customHeight="1">
      <c r="A14" s="132"/>
      <c r="B14" s="132"/>
      <c r="C14" s="132"/>
      <c r="D14" s="132"/>
      <c r="E14" s="490"/>
      <c r="F14" s="479"/>
      <c r="G14" s="132"/>
      <c r="H14" s="132"/>
      <c r="I14" s="132"/>
      <c r="J14" s="132"/>
      <c r="K14" s="132"/>
      <c r="L14" s="213"/>
      <c r="M14" s="526"/>
      <c r="N14" s="526"/>
      <c r="P14" s="166"/>
      <c r="Q14" s="522"/>
      <c r="R14" s="166"/>
      <c r="S14" s="527"/>
      <c r="T14" s="528" t="s">
        <v>405</v>
      </c>
      <c r="U14" s="529"/>
      <c r="V14" s="529"/>
      <c r="W14" s="529"/>
      <c r="X14" s="529"/>
      <c r="Y14" s="529"/>
      <c r="Z14" s="529"/>
      <c r="AA14" s="529"/>
      <c r="AB14" s="529"/>
      <c r="AC14" s="529"/>
      <c r="AD14" s="529"/>
      <c r="AE14" s="529"/>
      <c r="AF14" s="529"/>
      <c r="AG14" s="529"/>
      <c r="AH14" s="529"/>
      <c r="AI14" s="529"/>
      <c r="AJ14" s="529"/>
      <c r="AK14" s="529"/>
      <c r="AL14" s="529"/>
      <c r="AM14" s="529"/>
      <c r="AO14" s="128"/>
      <c r="AP14" s="128" t="str">
        <f t="shared" si="10"/>
        <v xml:space="preserve">Добавить централизованную систему для дифференциации</v>
      </c>
      <c r="AQ14" s="128"/>
      <c r="AR14" s="128"/>
    </row>
    <row r="15" s="57" customFormat="1" ht="0.75" hidden="1" customHeight="1">
      <c r="A15" s="132"/>
      <c r="B15" s="132"/>
      <c r="C15" s="132"/>
      <c r="D15" s="132"/>
      <c r="E15" s="479"/>
      <c r="F15" s="132"/>
      <c r="G15" s="132"/>
      <c r="H15" s="132"/>
      <c r="I15" s="132"/>
      <c r="J15" s="132"/>
      <c r="K15" s="132"/>
      <c r="L15" s="213"/>
      <c r="M15" s="526"/>
      <c r="N15" s="526"/>
      <c r="P15" s="166"/>
      <c r="Q15" s="522"/>
      <c r="R15" s="166"/>
      <c r="S15" s="527"/>
      <c r="T15" s="530" t="s">
        <v>406</v>
      </c>
      <c r="U15" s="529"/>
      <c r="V15" s="529"/>
      <c r="W15" s="529"/>
      <c r="X15" s="529"/>
      <c r="Y15" s="529"/>
      <c r="Z15" s="529"/>
      <c r="AA15" s="529"/>
      <c r="AB15" s="529"/>
      <c r="AC15" s="529"/>
      <c r="AD15" s="529"/>
      <c r="AE15" s="529"/>
      <c r="AF15" s="529"/>
      <c r="AG15" s="529"/>
      <c r="AH15" s="529"/>
      <c r="AI15" s="529"/>
      <c r="AJ15" s="529"/>
      <c r="AK15" s="529"/>
      <c r="AL15" s="529"/>
      <c r="AM15" s="529"/>
      <c r="AO15" s="128"/>
      <c r="AP15" s="128" t="str">
        <f t="shared" si="10"/>
        <v xml:space="preserve">Добавить территорию для дифференциации</v>
      </c>
      <c r="AQ15" s="128"/>
      <c r="AR15" s="128"/>
    </row>
    <row r="16" ht="14.25" hidden="1" customHeight="1">
      <c r="AC16" s="50"/>
      <c r="AK16" s="50"/>
    </row>
    <row r="17" ht="14.25" hidden="1" customHeight="1">
      <c r="AD17" s="531"/>
      <c r="AE17" s="531"/>
      <c r="AF17" s="531"/>
      <c r="AG17" s="532"/>
      <c r="AH17" s="533"/>
      <c r="AI17" s="534" t="s">
        <v>56</v>
      </c>
      <c r="AJ17" s="533"/>
      <c r="AK17" s="534" t="s">
        <v>56</v>
      </c>
    </row>
    <row r="18" ht="14.25" hidden="1" customHeight="1">
      <c r="AD18" s="531"/>
      <c r="AE18" s="531"/>
      <c r="AF18" s="531"/>
      <c r="AG18" s="510" t="str">
        <f>AH17&amp;"-"&amp;AJ17</f>
        <v>-</v>
      </c>
      <c r="AH18" s="534"/>
      <c r="AI18" s="534"/>
      <c r="AJ18" s="534"/>
      <c r="AK18" s="534"/>
    </row>
    <row r="19" ht="14.25" hidden="1" customHeight="1">
      <c r="AK19" s="50"/>
    </row>
    <row r="20" s="53" customFormat="1" ht="22.5" hidden="1" customHeight="1">
      <c r="L20" s="113"/>
      <c r="M20" s="61"/>
      <c r="N20" s="61"/>
      <c r="O20" s="535" t="s">
        <v>407</v>
      </c>
      <c r="P20" s="61"/>
      <c r="Q20" s="536"/>
      <c r="R20" s="536"/>
      <c r="S20" s="481"/>
      <c r="Z20" s="535"/>
      <c r="AB20" s="535"/>
      <c r="AC20" s="53"/>
      <c r="AH20" s="535"/>
      <c r="AJ20" s="535"/>
      <c r="AK20" s="53"/>
      <c r="AN20" s="57"/>
      <c r="AO20" s="57"/>
      <c r="AP20" s="57"/>
      <c r="AQ20" s="57"/>
      <c r="AR20" s="57"/>
    </row>
    <row r="21" s="53" customFormat="1" ht="14.25" hidden="1" customHeight="1">
      <c r="L21" s="113"/>
      <c r="M21" s="61"/>
      <c r="N21" s="61"/>
      <c r="O21" s="61"/>
      <c r="P21" s="61"/>
      <c r="Q21" s="536"/>
      <c r="R21" s="536"/>
      <c r="S21" s="481"/>
      <c r="AC21" s="53"/>
      <c r="AK21" s="53"/>
      <c r="AN21" s="57"/>
      <c r="AO21" s="57"/>
      <c r="AP21" s="57"/>
      <c r="AQ21" s="57"/>
      <c r="AR21" s="57"/>
    </row>
    <row r="22" s="53" customFormat="1" ht="14.25" hidden="1" customHeight="1">
      <c r="L22" s="113"/>
      <c r="M22" s="61"/>
      <c r="N22" s="61"/>
      <c r="O22" s="480" t="s">
        <v>408</v>
      </c>
      <c r="P22" s="61"/>
      <c r="Q22" s="536"/>
      <c r="R22" s="536"/>
      <c r="S22" s="481"/>
      <c r="T22" s="53" t="s">
        <v>409</v>
      </c>
      <c r="AA22" s="150" t="s">
        <v>410</v>
      </c>
      <c r="AC22" s="150" t="s">
        <v>411</v>
      </c>
      <c r="AD22" s="53" t="s">
        <v>409</v>
      </c>
      <c r="AI22" s="150" t="s">
        <v>412</v>
      </c>
      <c r="AK22" s="150" t="s">
        <v>411</v>
      </c>
      <c r="AN22" s="57"/>
      <c r="AO22" s="57"/>
      <c r="AP22" s="57"/>
      <c r="AQ22" s="57"/>
      <c r="AR22" s="57"/>
    </row>
    <row r="23" ht="14.25" hidden="1" customHeight="1">
      <c r="O23" s="480"/>
    </row>
    <row r="24" ht="14.25" hidden="1" customHeight="1">
      <c r="O24" s="480"/>
    </row>
    <row r="25" ht="14.25" customHeight="1">
      <c r="Q25" s="537"/>
      <c r="R25" s="537"/>
      <c r="S25" s="538"/>
      <c r="T25" s="89"/>
      <c r="U25" s="89"/>
      <c r="V25" s="50"/>
      <c r="W25" s="50"/>
      <c r="X25" s="50"/>
      <c r="Y25" s="50"/>
      <c r="Z25" s="50"/>
      <c r="AA25" s="50"/>
      <c r="AB25" s="50"/>
      <c r="AC25" s="50"/>
      <c r="AD25" s="50"/>
      <c r="AE25" s="50"/>
      <c r="AF25" s="50"/>
      <c r="AG25" s="50"/>
      <c r="AH25" s="50"/>
      <c r="AI25" s="50"/>
      <c r="AJ25" s="50"/>
      <c r="AK25" s="50"/>
    </row>
    <row r="26" ht="51" customHeight="1">
      <c r="Q26" s="537"/>
      <c r="R26" s="537"/>
      <c r="S26" s="451"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51"/>
      <c r="U26" s="451"/>
      <c r="V26" s="451"/>
      <c r="W26" s="451"/>
      <c r="X26" s="451"/>
      <c r="Y26" s="451"/>
      <c r="Z26" s="451"/>
      <c r="AA26" s="451"/>
      <c r="AB26" s="451"/>
      <c r="AC26" s="451"/>
      <c r="AD26" s="451"/>
      <c r="AE26" s="451"/>
      <c r="AF26" s="451"/>
      <c r="AG26" s="451"/>
      <c r="AH26" s="451"/>
      <c r="AI26" s="451"/>
      <c r="AJ26" s="451"/>
      <c r="AK26" s="241"/>
    </row>
    <row r="27" ht="14.25" customHeight="1">
      <c r="Q27" s="537"/>
      <c r="R27" s="537"/>
      <c r="S27" s="302" t="str">
        <f>IF(org=0,"Не определено",org)</f>
        <v xml:space="preserve">филиал ПАО "ОГК-2" - Адлерская ТЭС</v>
      </c>
      <c r="T27" s="302"/>
      <c r="U27" s="302"/>
      <c r="V27" s="302"/>
      <c r="W27" s="302"/>
      <c r="X27" s="302"/>
      <c r="Y27" s="302"/>
      <c r="Z27" s="302"/>
      <c r="AA27" s="302"/>
      <c r="AB27" s="302"/>
      <c r="AC27" s="302"/>
      <c r="AD27" s="302"/>
      <c r="AE27" s="302"/>
      <c r="AF27" s="302"/>
      <c r="AG27" s="302"/>
      <c r="AH27" s="302"/>
      <c r="AI27" s="302"/>
      <c r="AJ27" s="302"/>
      <c r="AK27" s="241"/>
    </row>
    <row r="28" ht="14.25" hidden="1" customHeight="1">
      <c r="Q28" s="537"/>
      <c r="R28" s="537"/>
      <c r="S28" s="538"/>
      <c r="T28" s="89"/>
      <c r="U28" s="89"/>
      <c r="V28" s="539"/>
      <c r="W28" s="539"/>
      <c r="X28" s="539"/>
      <c r="Y28" s="539"/>
      <c r="Z28" s="539"/>
      <c r="AA28" s="539"/>
      <c r="AB28" s="539"/>
      <c r="AC28" s="539"/>
      <c r="AD28" s="539"/>
      <c r="AE28" s="539"/>
      <c r="AF28" s="539"/>
      <c r="AG28" s="539"/>
      <c r="AH28" s="539"/>
      <c r="AI28" s="539"/>
      <c r="AJ28" s="539"/>
      <c r="AK28" s="539"/>
      <c r="AL28" s="50"/>
    </row>
    <row r="29" s="185" customFormat="1" ht="25.5" hidden="1" customHeight="1">
      <c r="A29" s="150"/>
      <c r="B29" s="150"/>
      <c r="C29" s="150"/>
      <c r="D29" s="150"/>
      <c r="E29" s="150"/>
      <c r="F29" s="150"/>
      <c r="G29" s="150"/>
      <c r="H29" s="150"/>
      <c r="I29" s="150"/>
      <c r="J29" s="150"/>
      <c r="K29" s="150"/>
      <c r="L29" s="480"/>
      <c r="M29" s="150"/>
      <c r="N29" s="150"/>
      <c r="O29" s="150"/>
      <c r="S29" s="540" t="s">
        <v>38</v>
      </c>
      <c r="T29" s="540"/>
      <c r="U29" s="541"/>
      <c r="V29" s="542" t="str">
        <f>IF(TITLE_NAME_OR_PR_CHANGE="",IF(TITLE_NAME_OR_PR="","",TITLE_NAME_OR_PR),TITLE_NAME_OR_PR_CHANGE)</f>
        <v/>
      </c>
      <c r="W29" s="542"/>
      <c r="X29" s="542"/>
      <c r="Y29" s="542"/>
      <c r="Z29" s="542"/>
      <c r="AA29" s="542"/>
      <c r="AB29" s="542"/>
      <c r="AC29" s="50"/>
      <c r="AD29" s="542" t="str">
        <f>IF(TITLE_NAME_OR_PR_CHANGE="",IF(TITLE_NAME_OR_PR="","",TITLE_NAME_OR_PR),TITLE_NAME_OR_PR_CHANGE)</f>
        <v/>
      </c>
      <c r="AE29" s="542"/>
      <c r="AF29" s="542"/>
      <c r="AG29" s="542"/>
      <c r="AH29" s="542"/>
      <c r="AI29" s="542"/>
      <c r="AJ29" s="542"/>
      <c r="AK29" s="50"/>
      <c r="AL29" s="50"/>
      <c r="AM29" s="543"/>
      <c r="AN29" s="128"/>
      <c r="AO29" s="128"/>
      <c r="AP29" s="128"/>
      <c r="AQ29" s="128"/>
      <c r="AR29" s="128"/>
    </row>
    <row r="30" s="185" customFormat="1" ht="18.75" hidden="1" customHeight="1">
      <c r="A30" s="150"/>
      <c r="B30" s="150"/>
      <c r="C30" s="150"/>
      <c r="D30" s="150"/>
      <c r="E30" s="150"/>
      <c r="F30" s="150"/>
      <c r="G30" s="150"/>
      <c r="H30" s="150"/>
      <c r="I30" s="150"/>
      <c r="J30" s="150"/>
      <c r="K30" s="150"/>
      <c r="L30" s="480"/>
      <c r="M30" s="150"/>
      <c r="N30" s="150"/>
      <c r="O30" s="150"/>
      <c r="S30" s="540" t="s">
        <v>413</v>
      </c>
      <c r="T30" s="540"/>
      <c r="U30" s="541"/>
      <c r="V30" s="544" t="str">
        <f>IF(TITLE_DATE_PR_CHANGE="",IF(TITLE_DATE_PR="","",TITLE_DATE_PR),TITLE_DATE_PR_CHANGE)</f>
        <v/>
      </c>
      <c r="W30" s="544"/>
      <c r="X30" s="544"/>
      <c r="Y30" s="544"/>
      <c r="Z30" s="544"/>
      <c r="AA30" s="544"/>
      <c r="AB30" s="544"/>
      <c r="AC30" s="50"/>
      <c r="AD30" s="544" t="str">
        <f>IF(TITLE_DATE_PR_CHANGE="",IF(TITLE_DATE_PR="","",TITLE_DATE_PR),TITLE_DATE_PR_CHANGE)</f>
        <v/>
      </c>
      <c r="AE30" s="544"/>
      <c r="AF30" s="544"/>
      <c r="AG30" s="544"/>
      <c r="AH30" s="544"/>
      <c r="AI30" s="544"/>
      <c r="AJ30" s="544"/>
      <c r="AK30" s="50"/>
      <c r="AL30" s="50"/>
      <c r="AM30" s="543"/>
      <c r="AN30" s="128"/>
      <c r="AO30" s="128"/>
      <c r="AP30" s="128"/>
      <c r="AQ30" s="128"/>
      <c r="AR30" s="128"/>
    </row>
    <row r="31" s="185" customFormat="1" ht="18.75" hidden="1" customHeight="1">
      <c r="A31" s="150"/>
      <c r="B31" s="150"/>
      <c r="C31" s="150"/>
      <c r="D31" s="150"/>
      <c r="E31" s="150"/>
      <c r="F31" s="150"/>
      <c r="G31" s="150"/>
      <c r="H31" s="150"/>
      <c r="I31" s="150"/>
      <c r="J31" s="150"/>
      <c r="K31" s="150"/>
      <c r="L31" s="480"/>
      <c r="M31" s="150"/>
      <c r="N31" s="150"/>
      <c r="O31" s="150"/>
      <c r="S31" s="540" t="s">
        <v>414</v>
      </c>
      <c r="T31" s="540"/>
      <c r="U31" s="541"/>
      <c r="V31" s="542" t="str">
        <f>IF(TITLE_NUMBER_PR_CHANGE="",IF(TITLE_NUMBER_PR="","",TITLE_NUMBER_PR),TITLE_NUMBER_PR_CHANGE)</f>
        <v/>
      </c>
      <c r="W31" s="542"/>
      <c r="X31" s="542"/>
      <c r="Y31" s="542"/>
      <c r="Z31" s="542"/>
      <c r="AA31" s="542"/>
      <c r="AB31" s="542"/>
      <c r="AC31" s="50"/>
      <c r="AD31" s="542" t="str">
        <f>IF(TITLE_NUMBER_PR_CHANGE="",IF(TITLE_NUMBER_PR="","",TITLE_NUMBER_PR),TITLE_NUMBER_PR_CHANGE)</f>
        <v/>
      </c>
      <c r="AE31" s="542"/>
      <c r="AF31" s="542"/>
      <c r="AG31" s="542"/>
      <c r="AH31" s="542"/>
      <c r="AI31" s="542"/>
      <c r="AJ31" s="542"/>
      <c r="AK31" s="50"/>
      <c r="AL31" s="50"/>
      <c r="AM31" s="543"/>
      <c r="AN31" s="128"/>
      <c r="AO31" s="128"/>
      <c r="AP31" s="128"/>
      <c r="AQ31" s="128"/>
      <c r="AR31" s="128"/>
    </row>
    <row r="32" s="185" customFormat="1" ht="18.75" hidden="1" customHeight="1">
      <c r="A32" s="150"/>
      <c r="B32" s="150"/>
      <c r="C32" s="150"/>
      <c r="D32" s="150"/>
      <c r="E32" s="150"/>
      <c r="F32" s="150"/>
      <c r="G32" s="150"/>
      <c r="H32" s="150"/>
      <c r="I32" s="150"/>
      <c r="J32" s="150"/>
      <c r="K32" s="150"/>
      <c r="L32" s="480"/>
      <c r="M32" s="150"/>
      <c r="N32" s="150"/>
      <c r="O32" s="150"/>
      <c r="S32" s="540" t="s">
        <v>39</v>
      </c>
      <c r="T32" s="540"/>
      <c r="U32" s="541"/>
      <c r="V32" s="542" t="str">
        <f>IF(TITLE_IST_PUB_CHANGE="",IF(TITLE_IST_PUB="","",TITLE_IST_PUB),TITLE_IST_PUB_CHANGE)</f>
        <v/>
      </c>
      <c r="W32" s="542"/>
      <c r="X32" s="542"/>
      <c r="Y32" s="542"/>
      <c r="Z32" s="542"/>
      <c r="AA32" s="542"/>
      <c r="AB32" s="542"/>
      <c r="AC32" s="50"/>
      <c r="AD32" s="542" t="str">
        <f>IF(TITLE_IST_PUB_CHANGE="",IF(TITLE_IST_PUB="","",TITLE_IST_PUB),TITLE_IST_PUB_CHANGE)</f>
        <v/>
      </c>
      <c r="AE32" s="542"/>
      <c r="AF32" s="542"/>
      <c r="AG32" s="542"/>
      <c r="AH32" s="542"/>
      <c r="AI32" s="542"/>
      <c r="AJ32" s="542"/>
      <c r="AK32" s="50"/>
      <c r="AL32" s="50"/>
      <c r="AM32" s="543"/>
      <c r="AN32" s="128"/>
      <c r="AO32" s="128"/>
      <c r="AP32" s="128"/>
      <c r="AQ32" s="128"/>
      <c r="AR32" s="128"/>
    </row>
    <row r="33" ht="14.25" hidden="1" customHeight="1">
      <c r="Q33" s="537"/>
      <c r="R33" s="537"/>
      <c r="S33" s="538"/>
      <c r="T33" s="89"/>
      <c r="U33" s="89"/>
      <c r="V33" s="539"/>
      <c r="W33" s="539"/>
      <c r="X33" s="539"/>
      <c r="Y33" s="539"/>
      <c r="Z33" s="539"/>
      <c r="AA33" s="539"/>
      <c r="AB33" s="539"/>
      <c r="AC33" s="539"/>
      <c r="AD33" s="539"/>
      <c r="AE33" s="539"/>
      <c r="AF33" s="539"/>
      <c r="AG33" s="539"/>
      <c r="AH33" s="539"/>
      <c r="AI33" s="539"/>
      <c r="AJ33" s="539"/>
      <c r="AK33" s="539"/>
      <c r="AL33" s="50"/>
    </row>
    <row r="34" s="185" customFormat="1" ht="18.75" hidden="1" customHeight="1">
      <c r="A34" s="150"/>
      <c r="B34" s="150"/>
      <c r="C34" s="150"/>
      <c r="D34" s="150"/>
      <c r="E34" s="150"/>
      <c r="F34" s="150"/>
      <c r="G34" s="150"/>
      <c r="H34" s="150"/>
      <c r="I34" s="150"/>
      <c r="J34" s="150"/>
      <c r="K34" s="150"/>
      <c r="L34" s="480"/>
      <c r="M34" s="150"/>
      <c r="N34" s="150"/>
      <c r="O34" s="150"/>
      <c r="S34" s="540" t="s">
        <v>415</v>
      </c>
      <c r="T34" s="540"/>
      <c r="U34" s="541"/>
      <c r="V34" s="544" t="str">
        <f>IF(TITLE_DATE_PR_CHANGE="",IF(TITLE_DATE_PR="","",TITLE_DATE_PR),TITLE_DATE_PR_CHANGE)</f>
        <v/>
      </c>
      <c r="W34" s="544"/>
      <c r="X34" s="544"/>
      <c r="Y34" s="544"/>
      <c r="Z34" s="544"/>
      <c r="AA34" s="544"/>
      <c r="AB34" s="544"/>
      <c r="AC34" s="50"/>
      <c r="AD34" s="544" t="str">
        <f>IF(TITLE_DATE_PR_CHANGE="",IF(TITLE_DATE_PR="","",TITLE_DATE_PR),TITLE_DATE_PR_CHANGE)</f>
        <v/>
      </c>
      <c r="AE34" s="544"/>
      <c r="AF34" s="544"/>
      <c r="AG34" s="544"/>
      <c r="AH34" s="544"/>
      <c r="AI34" s="544"/>
      <c r="AJ34" s="544"/>
      <c r="AK34" s="50"/>
      <c r="AL34" s="50"/>
      <c r="AM34" s="543"/>
      <c r="AN34" s="128"/>
      <c r="AO34" s="128"/>
      <c r="AP34" s="128"/>
      <c r="AQ34" s="128"/>
      <c r="AR34" s="128"/>
    </row>
    <row r="35" s="185" customFormat="1" ht="18.75" hidden="1" customHeight="1">
      <c r="A35" s="150"/>
      <c r="B35" s="150"/>
      <c r="C35" s="150"/>
      <c r="D35" s="150"/>
      <c r="E35" s="150"/>
      <c r="F35" s="150"/>
      <c r="G35" s="150"/>
      <c r="H35" s="150"/>
      <c r="I35" s="150"/>
      <c r="J35" s="150"/>
      <c r="K35" s="150"/>
      <c r="L35" s="480"/>
      <c r="M35" s="150"/>
      <c r="N35" s="150"/>
      <c r="O35" s="150"/>
      <c r="S35" s="540" t="s">
        <v>416</v>
      </c>
      <c r="T35" s="540"/>
      <c r="U35" s="541"/>
      <c r="V35" s="542" t="str">
        <f>IF(TITLE_NUMBER_PR_CHANGE="",IF(TITLE_NUMBER_PR="","",TITLE_NUMBER_PR),TITLE_NUMBER_PR_CHANGE)</f>
        <v/>
      </c>
      <c r="W35" s="542"/>
      <c r="X35" s="542"/>
      <c r="Y35" s="542"/>
      <c r="Z35" s="542"/>
      <c r="AA35" s="542"/>
      <c r="AB35" s="542"/>
      <c r="AC35" s="50"/>
      <c r="AD35" s="542" t="str">
        <f>IF(TITLE_NUMBER_PR_CHANGE="",IF(TITLE_NUMBER_PR="","",TITLE_NUMBER_PR),TITLE_NUMBER_PR_CHANGE)</f>
        <v/>
      </c>
      <c r="AE35" s="542"/>
      <c r="AF35" s="542"/>
      <c r="AG35" s="542"/>
      <c r="AH35" s="542"/>
      <c r="AI35" s="542"/>
      <c r="AJ35" s="542"/>
      <c r="AK35" s="50"/>
      <c r="AL35" s="50"/>
      <c r="AM35" s="543"/>
      <c r="AN35" s="128"/>
      <c r="AO35" s="128"/>
      <c r="AP35" s="128"/>
      <c r="AQ35" s="128"/>
      <c r="AR35" s="128"/>
    </row>
    <row r="36" s="185" customFormat="1" ht="0" customHeight="1">
      <c r="A36" s="150"/>
      <c r="B36" s="150"/>
      <c r="C36" s="150"/>
      <c r="D36" s="150"/>
      <c r="E36" s="150"/>
      <c r="F36" s="150"/>
      <c r="G36" s="150"/>
      <c r="H36" s="150"/>
      <c r="I36" s="150"/>
      <c r="J36" s="150"/>
      <c r="K36" s="150"/>
      <c r="L36" s="480"/>
      <c r="M36" s="150"/>
      <c r="N36" s="150"/>
      <c r="O36" s="150"/>
      <c r="S36" s="50"/>
      <c r="T36" s="50"/>
      <c r="U36" s="139"/>
      <c r="V36" s="50"/>
      <c r="W36" s="50"/>
      <c r="X36" s="50"/>
      <c r="Y36" s="50"/>
      <c r="Z36" s="50"/>
      <c r="AA36" s="50"/>
      <c r="AB36" s="50"/>
      <c r="AC36" s="57" t="s">
        <v>417</v>
      </c>
      <c r="AD36" s="50"/>
      <c r="AE36" s="50"/>
      <c r="AF36" s="50"/>
      <c r="AG36" s="50"/>
      <c r="AH36" s="50"/>
      <c r="AI36" s="50"/>
      <c r="AJ36" s="50"/>
      <c r="AK36" s="57" t="s">
        <v>417</v>
      </c>
      <c r="AN36" s="128"/>
      <c r="AO36" s="128"/>
      <c r="AP36" s="128"/>
      <c r="AQ36" s="128"/>
      <c r="AR36" s="128"/>
    </row>
    <row r="37" ht="14.25" customHeight="1">
      <c r="Q37" s="537"/>
      <c r="R37" s="537"/>
      <c r="S37" s="538"/>
      <c r="T37" s="89"/>
      <c r="U37" s="545"/>
      <c r="V37" s="546"/>
      <c r="W37" s="546"/>
      <c r="X37" s="546"/>
      <c r="Y37" s="546"/>
      <c r="Z37" s="546"/>
      <c r="AA37" s="546"/>
      <c r="AB37" s="546"/>
      <c r="AC37" s="546"/>
      <c r="AD37" s="546"/>
      <c r="AE37" s="546"/>
      <c r="AF37" s="546"/>
      <c r="AG37" s="546"/>
      <c r="AH37" s="546"/>
      <c r="AI37" s="546"/>
      <c r="AJ37" s="546"/>
      <c r="AK37" s="546"/>
    </row>
    <row r="38" ht="14.25" customHeight="1">
      <c r="Q38" s="537"/>
      <c r="R38" s="537"/>
      <c r="S38" s="156" t="s">
        <v>288</v>
      </c>
      <c r="T38" s="156"/>
      <c r="U38" s="156"/>
      <c r="V38" s="156"/>
      <c r="W38" s="156"/>
      <c r="X38" s="156"/>
      <c r="Y38" s="156"/>
      <c r="Z38" s="156"/>
      <c r="AA38" s="156"/>
      <c r="AB38" s="156"/>
      <c r="AC38" s="156"/>
      <c r="AD38" s="156"/>
      <c r="AE38" s="156"/>
      <c r="AF38" s="156"/>
      <c r="AG38" s="156"/>
      <c r="AH38" s="156"/>
      <c r="AI38" s="156"/>
      <c r="AJ38" s="156"/>
      <c r="AK38" s="156"/>
      <c r="AL38" s="156"/>
      <c r="AM38" s="156" t="s">
        <v>289</v>
      </c>
    </row>
    <row r="39" ht="14.25" customHeight="1">
      <c r="Q39" s="537"/>
      <c r="R39" s="537"/>
      <c r="S39" s="483" t="s">
        <v>85</v>
      </c>
      <c r="T39" s="347" t="s">
        <v>418</v>
      </c>
      <c r="U39" s="547"/>
      <c r="V39" s="548" t="s">
        <v>419</v>
      </c>
      <c r="W39" s="549"/>
      <c r="X39" s="549"/>
      <c r="Y39" s="549"/>
      <c r="Z39" s="549"/>
      <c r="AA39" s="549"/>
      <c r="AB39" s="550"/>
      <c r="AC39" s="551" t="s">
        <v>420</v>
      </c>
      <c r="AD39" s="548" t="s">
        <v>419</v>
      </c>
      <c r="AE39" s="549"/>
      <c r="AF39" s="549"/>
      <c r="AG39" s="549"/>
      <c r="AH39" s="549"/>
      <c r="AI39" s="549"/>
      <c r="AJ39" s="550"/>
      <c r="AK39" s="551" t="s">
        <v>421</v>
      </c>
      <c r="AL39" s="552" t="s">
        <v>422</v>
      </c>
      <c r="AM39" s="156"/>
    </row>
    <row r="40" ht="33.75" customHeight="1">
      <c r="Q40" s="537"/>
      <c r="R40" s="537"/>
      <c r="S40" s="483"/>
      <c r="T40" s="347"/>
      <c r="U40" s="553"/>
      <c r="V40" s="306" t="s">
        <v>423</v>
      </c>
      <c r="W40" s="554"/>
      <c r="X40" s="73" t="s">
        <v>425</v>
      </c>
      <c r="Y40" s="72"/>
      <c r="Z40" s="73" t="s">
        <v>426</v>
      </c>
      <c r="AA40" s="144"/>
      <c r="AB40" s="72"/>
      <c r="AC40" s="555"/>
      <c r="AD40" s="306" t="s">
        <v>423</v>
      </c>
      <c r="AE40" s="554"/>
      <c r="AF40" s="73" t="s">
        <v>425</v>
      </c>
      <c r="AG40" s="72"/>
      <c r="AH40" s="73" t="s">
        <v>426</v>
      </c>
      <c r="AI40" s="144"/>
      <c r="AJ40" s="72"/>
      <c r="AK40" s="555"/>
      <c r="AL40" s="556"/>
      <c r="AM40" s="156"/>
    </row>
    <row r="41" ht="33.75" customHeight="1">
      <c r="A41" s="150"/>
      <c r="B41" s="150" t="s">
        <v>137</v>
      </c>
      <c r="C41" s="150" t="s">
        <v>138</v>
      </c>
      <c r="D41" s="150" t="s">
        <v>139</v>
      </c>
      <c r="E41" s="480" t="s">
        <v>427</v>
      </c>
      <c r="F41" s="480" t="s">
        <v>428</v>
      </c>
      <c r="G41" s="480" t="s">
        <v>429</v>
      </c>
      <c r="H41" s="480" t="s">
        <v>430</v>
      </c>
      <c r="I41" s="480" t="s">
        <v>431</v>
      </c>
      <c r="J41" s="480" t="s">
        <v>432</v>
      </c>
      <c r="K41" s="480" t="s">
        <v>433</v>
      </c>
      <c r="L41" s="480" t="s">
        <v>408</v>
      </c>
      <c r="Q41" s="537"/>
      <c r="R41" s="537"/>
      <c r="S41" s="483"/>
      <c r="T41" s="347"/>
      <c r="U41" s="557"/>
      <c r="V41" s="161"/>
      <c r="W41" s="558"/>
      <c r="X41" s="247" t="s">
        <v>434</v>
      </c>
      <c r="Y41" s="247" t="s">
        <v>435</v>
      </c>
      <c r="Z41" s="247" t="s">
        <v>436</v>
      </c>
      <c r="AA41" s="414" t="s">
        <v>437</v>
      </c>
      <c r="AB41" s="416"/>
      <c r="AC41" s="559"/>
      <c r="AD41" s="161"/>
      <c r="AE41" s="558"/>
      <c r="AF41" s="247" t="s">
        <v>434</v>
      </c>
      <c r="AG41" s="247" t="s">
        <v>435</v>
      </c>
      <c r="AH41" s="247" t="s">
        <v>436</v>
      </c>
      <c r="AI41" s="414" t="s">
        <v>437</v>
      </c>
      <c r="AJ41" s="416"/>
      <c r="AK41" s="559"/>
      <c r="AL41" s="560"/>
      <c r="AM41" s="156"/>
    </row>
    <row r="42" s="130" customFormat="1" ht="11.25" hidden="1" customHeight="1">
      <c r="A42" s="150"/>
      <c r="B42" s="150"/>
      <c r="C42" s="150"/>
      <c r="D42" s="150"/>
      <c r="E42" s="150"/>
      <c r="F42" s="150"/>
      <c r="G42" s="150"/>
      <c r="H42" s="150"/>
      <c r="I42" s="150"/>
      <c r="J42" s="150"/>
      <c r="K42" s="150"/>
      <c r="L42" s="480"/>
      <c r="M42" s="61"/>
      <c r="N42" s="61"/>
      <c r="O42" s="61"/>
      <c r="P42" s="561"/>
      <c r="Q42" s="562"/>
      <c r="R42" s="563">
        <v>1</v>
      </c>
      <c r="S42" s="564" t="s">
        <v>111</v>
      </c>
      <c r="T42" s="565" t="s">
        <v>99</v>
      </c>
      <c r="U42" s="566" t="str">
        <f ca="1">OFFSET(U42,0,-1)</f>
        <v>2</v>
      </c>
      <c r="V42" s="567">
        <f ca="1">OFFSET(V42,0,-1)+1</f>
        <v>3</v>
      </c>
      <c r="W42" s="567"/>
      <c r="X42" s="567">
        <f ca="1">OFFSET(X42,0,-1)+1</f>
        <v>1</v>
      </c>
      <c r="Y42" s="567">
        <f ca="1">OFFSET(Y42,0,-1)+1</f>
        <v>2</v>
      </c>
      <c r="Z42" s="567">
        <f ca="1">OFFSET(Z42,0,-1)+1</f>
        <v>3</v>
      </c>
      <c r="AA42" s="567">
        <f ca="1">OFFSET(AA42,0,-1)+1</f>
        <v>4</v>
      </c>
      <c r="AB42" s="567"/>
      <c r="AC42" s="567">
        <f ca="1">OFFSET(AC42,0,-2)+1</f>
        <v>5</v>
      </c>
      <c r="AD42" s="567">
        <f ca="1">OFFSET(AD42,0,-1)+1</f>
        <v>6</v>
      </c>
      <c r="AE42" s="567"/>
      <c r="AF42" s="567">
        <f ca="1">OFFSET(AF42,0,-1)+1</f>
        <v>1</v>
      </c>
      <c r="AG42" s="567">
        <f ca="1">OFFSET(AG42,0,-1)+1</f>
        <v>2</v>
      </c>
      <c r="AH42" s="567">
        <f ca="1">OFFSET(AH42,0,-1)+1</f>
        <v>3</v>
      </c>
      <c r="AI42" s="567">
        <f ca="1">OFFSET(AI42,0,-1)+1</f>
        <v>4</v>
      </c>
      <c r="AJ42" s="567"/>
      <c r="AK42" s="567">
        <f ca="1">OFFSET(AK42,0,-2)+1</f>
        <v>5</v>
      </c>
      <c r="AL42" s="566">
        <f ca="1">OFFSET(AL42,0,-1)</f>
        <v>5</v>
      </c>
      <c r="AM42" s="567">
        <f ca="1">OFFSET(AM42,0,-1)+1</f>
        <v>6</v>
      </c>
      <c r="AN42" s="57"/>
      <c r="AO42" s="57"/>
      <c r="AP42" s="57"/>
      <c r="AQ42" s="57"/>
      <c r="AR42" s="57"/>
    </row>
    <row r="43" ht="21" customHeight="1">
      <c r="A43" s="478" t="s">
        <v>170</v>
      </c>
      <c r="B43" s="478"/>
      <c r="C43" s="478"/>
      <c r="D43" s="478"/>
      <c r="E43" s="479">
        <v>1</v>
      </c>
      <c r="F43" s="478"/>
      <c r="G43" s="478"/>
      <c r="H43" s="478"/>
      <c r="I43" s="478"/>
      <c r="J43" s="478"/>
      <c r="K43" s="478"/>
      <c r="L43" s="480"/>
      <c r="M43" s="481"/>
      <c r="N43" s="481"/>
      <c r="O43" s="481"/>
      <c r="P43" s="60"/>
      <c r="Q43" s="142"/>
      <c r="R43" s="482"/>
      <c r="S43" s="483">
        <f>INDEX(PT_DIFFERENTIATION_NUM_NTAR,MATCH(A43,PT_DIFFERENTIATION_NTAR_ID,0))</f>
        <v>0</v>
      </c>
      <c r="T43" s="484" t="s">
        <v>125</v>
      </c>
      <c r="U43" s="485"/>
      <c r="V43" s="486"/>
      <c r="W43" s="487"/>
      <c r="X43" s="487"/>
      <c r="Y43" s="487"/>
      <c r="Z43" s="487"/>
      <c r="AA43" s="487"/>
      <c r="AB43" s="487"/>
      <c r="AC43" s="488"/>
      <c r="AD43" s="486" t="str">
        <f>INDEX(PT_DIFFERENTIATION_NTAR,MATCH(A43,PT_DIFFERENTIATION_NTAR_ID,0))</f>
        <v/>
      </c>
      <c r="AE43" s="487"/>
      <c r="AF43" s="487"/>
      <c r="AG43" s="487"/>
      <c r="AH43" s="487"/>
      <c r="AI43" s="487"/>
      <c r="AJ43" s="487"/>
      <c r="AK43" s="487"/>
      <c r="AL43" s="488"/>
      <c r="AM43" s="4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8"/>
      <c r="AP43" s="128" t="str">
        <f t="shared" si="10"/>
        <v xml:space="preserve">Наименование тарифа</v>
      </c>
      <c r="AQ43" s="128"/>
      <c r="AR43" s="128"/>
    </row>
    <row r="44" ht="21" customHeight="1">
      <c r="A44" s="478" t="s">
        <v>170</v>
      </c>
      <c r="B44" s="478" t="s">
        <v>171</v>
      </c>
      <c r="C44" s="478"/>
      <c r="D44" s="478"/>
      <c r="E44" s="490"/>
      <c r="F44" s="479">
        <v>1</v>
      </c>
      <c r="G44" s="478"/>
      <c r="H44" s="478"/>
      <c r="I44" s="478"/>
      <c r="J44" s="478"/>
      <c r="K44" s="478"/>
      <c r="L44" s="480"/>
      <c r="M44" s="481"/>
      <c r="N44" s="481"/>
      <c r="O44" s="481"/>
      <c r="P44" s="51"/>
      <c r="Q44" s="491"/>
      <c r="R44" s="492"/>
      <c r="S44" s="483" t="str">
        <f>INDEX(PT_DIFFERENTIATION_NUM_TER,MATCH(B44,PT_DIFFERENTIATION_TER_ID,0))</f>
        <v>.</v>
      </c>
      <c r="T44" s="493" t="s">
        <v>387</v>
      </c>
      <c r="U44" s="485"/>
      <c r="V44" s="486"/>
      <c r="W44" s="487"/>
      <c r="X44" s="487"/>
      <c r="Y44" s="487"/>
      <c r="Z44" s="487"/>
      <c r="AA44" s="487"/>
      <c r="AB44" s="487"/>
      <c r="AC44" s="488"/>
      <c r="AD44" s="486" t="str">
        <f>INDEX(PT_DIFFERENTIATION_TER,MATCH(B44,PT_DIFFERENTIATION_TER_ID,0))</f>
        <v/>
      </c>
      <c r="AE44" s="487"/>
      <c r="AF44" s="487"/>
      <c r="AG44" s="487"/>
      <c r="AH44" s="487"/>
      <c r="AI44" s="487"/>
      <c r="AJ44" s="487"/>
      <c r="AK44" s="487"/>
      <c r="AL44" s="488"/>
      <c r="AM44" s="489" t="s">
        <v>388</v>
      </c>
      <c r="AO44" s="128"/>
      <c r="AP44" s="128" t="str">
        <f t="shared" si="10"/>
        <v xml:space="preserve">Территория действия тарифа</v>
      </c>
      <c r="AQ44" s="128"/>
      <c r="AR44" s="128"/>
    </row>
    <row r="45" ht="23.25" customHeight="1">
      <c r="A45" s="478" t="s">
        <v>170</v>
      </c>
      <c r="B45" s="478" t="s">
        <v>171</v>
      </c>
      <c r="C45" s="478" t="s">
        <v>172</v>
      </c>
      <c r="D45" s="478"/>
      <c r="E45" s="490"/>
      <c r="F45" s="490"/>
      <c r="G45" s="479">
        <v>1</v>
      </c>
      <c r="H45" s="478"/>
      <c r="I45" s="478"/>
      <c r="J45" s="478"/>
      <c r="K45" s="478"/>
      <c r="L45" s="480"/>
      <c r="M45" s="481"/>
      <c r="N45" s="481"/>
      <c r="O45" s="481"/>
      <c r="P45" s="494"/>
      <c r="Q45" s="491"/>
      <c r="R45" s="492"/>
      <c r="S45" s="483" t="str">
        <f>INDEX(PT_DIFFERENTIATION_NUM_CS,MATCH(C45,PT_DIFFERENTIATION_CS_ID,0))</f>
        <v>..</v>
      </c>
      <c r="T45" s="495" t="s">
        <v>389</v>
      </c>
      <c r="U45" s="485"/>
      <c r="V45" s="486"/>
      <c r="W45" s="487"/>
      <c r="X45" s="487"/>
      <c r="Y45" s="487"/>
      <c r="Z45" s="487"/>
      <c r="AA45" s="487"/>
      <c r="AB45" s="487"/>
      <c r="AC45" s="488"/>
      <c r="AD45" s="486" t="str">
        <f>INDEX(PT_DIFFERENTIATION_CS,MATCH(C45,PT_DIFFERENTIATION_CS_ID,0))</f>
        <v/>
      </c>
      <c r="AE45" s="487"/>
      <c r="AF45" s="487"/>
      <c r="AG45" s="487"/>
      <c r="AH45" s="487"/>
      <c r="AI45" s="487"/>
      <c r="AJ45" s="487"/>
      <c r="AK45" s="487"/>
      <c r="AL45" s="488"/>
      <c r="AM45" s="489" t="s">
        <v>390</v>
      </c>
      <c r="AO45" s="128"/>
      <c r="AP45" s="128" t="str">
        <f t="shared" si="10"/>
        <v xml:space="preserve">Наименование системы теплоснабжения</v>
      </c>
      <c r="AQ45" s="128"/>
      <c r="AR45" s="128"/>
    </row>
    <row r="46" ht="21" customHeight="1">
      <c r="A46" s="478" t="s">
        <v>170</v>
      </c>
      <c r="B46" s="478" t="s">
        <v>171</v>
      </c>
      <c r="C46" s="478" t="s">
        <v>172</v>
      </c>
      <c r="D46" s="478" t="s">
        <v>173</v>
      </c>
      <c r="E46" s="490"/>
      <c r="F46" s="490"/>
      <c r="G46" s="490"/>
      <c r="H46" s="479">
        <v>1</v>
      </c>
      <c r="I46" s="478"/>
      <c r="J46" s="478"/>
      <c r="K46" s="478"/>
      <c r="L46" s="480"/>
      <c r="M46" s="481"/>
      <c r="N46" s="481"/>
      <c r="O46" s="481"/>
      <c r="P46" s="494"/>
      <c r="Q46" s="491"/>
      <c r="R46" s="492"/>
      <c r="S46" s="483" t="str">
        <f>INDEX(PT_DIFFERENTIATION_NUM_IST_TE,MATCH(D46,PT_DIFFERENTIATION_IST_TE_ID,0))</f>
        <v>...</v>
      </c>
      <c r="T46" s="496" t="s">
        <v>391</v>
      </c>
      <c r="U46" s="485"/>
      <c r="V46" s="486"/>
      <c r="W46" s="487"/>
      <c r="X46" s="487"/>
      <c r="Y46" s="487"/>
      <c r="Z46" s="487"/>
      <c r="AA46" s="487"/>
      <c r="AB46" s="487"/>
      <c r="AC46" s="488"/>
      <c r="AD46" s="486" t="str">
        <f>INDEX(PT_DIFFERENTIATION_IST_TE,MATCH(D46,PT_DIFFERENTIATION_IST_TE_ID,0))</f>
        <v/>
      </c>
      <c r="AE46" s="487"/>
      <c r="AF46" s="487"/>
      <c r="AG46" s="487"/>
      <c r="AH46" s="487"/>
      <c r="AI46" s="487"/>
      <c r="AJ46" s="487"/>
      <c r="AK46" s="487"/>
      <c r="AL46" s="488"/>
      <c r="AM46" s="489" t="s">
        <v>392</v>
      </c>
      <c r="AO46" s="128"/>
      <c r="AP46" s="128" t="str">
        <f t="shared" si="10"/>
        <v xml:space="preserve">Источник тепловой энергии</v>
      </c>
      <c r="AQ46" s="128"/>
      <c r="AR46" s="128"/>
    </row>
    <row r="47" s="57" customFormat="1" ht="0" customHeight="1">
      <c r="A47" s="132" t="s">
        <v>170</v>
      </c>
      <c r="B47" s="132" t="s">
        <v>171</v>
      </c>
      <c r="C47" s="132" t="s">
        <v>172</v>
      </c>
      <c r="D47" s="132" t="s">
        <v>173</v>
      </c>
      <c r="E47" s="490"/>
      <c r="F47" s="490"/>
      <c r="G47" s="490"/>
      <c r="H47" s="490"/>
      <c r="I47" s="167" t="str">
        <f>S46&amp;".1"</f>
        <v>....1</v>
      </c>
      <c r="J47" s="132"/>
      <c r="K47" s="132"/>
      <c r="L47" s="213" t="s">
        <v>393</v>
      </c>
      <c r="M47" s="586"/>
      <c r="N47" s="586"/>
      <c r="O47" s="586"/>
      <c r="P47" s="131">
        <v>1</v>
      </c>
      <c r="Q47" s="131"/>
      <c r="R47" s="497"/>
      <c r="S47" s="351"/>
      <c r="T47" s="576"/>
      <c r="U47" s="577"/>
      <c r="V47" s="578"/>
      <c r="W47" s="579"/>
      <c r="X47" s="579"/>
      <c r="Y47" s="579"/>
      <c r="Z47" s="579"/>
      <c r="AA47" s="579"/>
      <c r="AB47" s="579"/>
      <c r="AC47" s="580"/>
      <c r="AD47" s="578"/>
      <c r="AE47" s="579"/>
      <c r="AF47" s="579"/>
      <c r="AG47" s="579"/>
      <c r="AH47" s="579"/>
      <c r="AI47" s="579"/>
      <c r="AJ47" s="579"/>
      <c r="AK47" s="579"/>
      <c r="AL47" s="580"/>
      <c r="AM47" s="581"/>
      <c r="AO47" s="128"/>
      <c r="AP47" s="128" t="str">
        <f t="shared" si="10"/>
        <v/>
      </c>
      <c r="AQ47" s="128"/>
      <c r="AR47" s="128"/>
    </row>
    <row r="48" ht="21" customHeight="1">
      <c r="A48" s="478" t="s">
        <v>170</v>
      </c>
      <c r="B48" s="478" t="s">
        <v>171</v>
      </c>
      <c r="C48" s="478" t="s">
        <v>172</v>
      </c>
      <c r="D48" s="478" t="s">
        <v>173</v>
      </c>
      <c r="E48" s="490"/>
      <c r="F48" s="490"/>
      <c r="G48" s="490"/>
      <c r="H48" s="490"/>
      <c r="I48" s="501"/>
      <c r="J48" s="167" t="str">
        <f>S46&amp;".1"</f>
        <v>....1</v>
      </c>
      <c r="K48" s="478"/>
      <c r="L48" s="480" t="s">
        <v>396</v>
      </c>
      <c r="P48" s="131"/>
      <c r="Q48" s="131">
        <v>1</v>
      </c>
      <c r="R48" s="502"/>
      <c r="S48" s="483" t="str">
        <f>$J48</f>
        <v>....1</v>
      </c>
      <c r="T48" s="503" t="s">
        <v>397</v>
      </c>
      <c r="U48" s="485"/>
      <c r="V48" s="430"/>
      <c r="W48" s="499"/>
      <c r="X48" s="499"/>
      <c r="Y48" s="499"/>
      <c r="Z48" s="499"/>
      <c r="AA48" s="499"/>
      <c r="AB48" s="499"/>
      <c r="AC48" s="500"/>
      <c r="AD48" s="430"/>
      <c r="AE48" s="499"/>
      <c r="AF48" s="499"/>
      <c r="AG48" s="499"/>
      <c r="AH48" s="499"/>
      <c r="AI48" s="499"/>
      <c r="AJ48" s="499"/>
      <c r="AK48" s="499"/>
      <c r="AL48" s="500"/>
      <c r="AM48" s="489" t="s">
        <v>398</v>
      </c>
      <c r="AO48" s="128"/>
      <c r="AP48" s="128" t="str">
        <f t="shared" si="10"/>
        <v xml:space="preserve">Группа потребителей</v>
      </c>
      <c r="AQ48" s="128"/>
      <c r="AR48" s="128"/>
    </row>
    <row r="49" ht="21" customHeight="1">
      <c r="A49" s="478" t="s">
        <v>170</v>
      </c>
      <c r="B49" s="478" t="s">
        <v>171</v>
      </c>
      <c r="C49" s="478" t="s">
        <v>172</v>
      </c>
      <c r="D49" s="478" t="s">
        <v>173</v>
      </c>
      <c r="E49" s="490"/>
      <c r="F49" s="490"/>
      <c r="G49" s="490"/>
      <c r="H49" s="490"/>
      <c r="I49" s="501"/>
      <c r="J49" s="501"/>
      <c r="K49" s="167" t="str">
        <f>J48&amp;".1"</f>
        <v>....1.1</v>
      </c>
      <c r="L49" s="480" t="s">
        <v>399</v>
      </c>
      <c r="P49" s="131"/>
      <c r="Q49" s="131"/>
      <c r="R49" s="502">
        <v>1</v>
      </c>
      <c r="S49" s="483" t="str">
        <f>$K49</f>
        <v>....1.1</v>
      </c>
      <c r="T49" s="504"/>
      <c r="U49" s="485"/>
      <c r="V49" s="505"/>
      <c r="W49" s="506"/>
      <c r="X49" s="505"/>
      <c r="Y49" s="507"/>
      <c r="Z49" s="508"/>
      <c r="AA49" s="225" t="s">
        <v>56</v>
      </c>
      <c r="AB49" s="508"/>
      <c r="AC49" s="225" t="s">
        <v>56</v>
      </c>
      <c r="AD49" s="505"/>
      <c r="AE49" s="506"/>
      <c r="AF49" s="505"/>
      <c r="AG49" s="507"/>
      <c r="AH49" s="508"/>
      <c r="AI49" s="225" t="s">
        <v>56</v>
      </c>
      <c r="AJ49" s="568"/>
      <c r="AK49" s="225" t="s">
        <v>56</v>
      </c>
      <c r="AL49" s="569"/>
      <c r="AM49" s="509" t="s">
        <v>440</v>
      </c>
      <c r="AN49" s="57" t="e">
        <f>STRCHECKDATE(V50:AL50)</f>
        <v>#NAME?</v>
      </c>
      <c r="AO49" s="128"/>
      <c r="AP49" s="128" t="str">
        <f t="shared" si="10"/>
        <v/>
      </c>
      <c r="AQ49" s="128"/>
      <c r="AR49" s="128"/>
    </row>
    <row r="50" ht="0.75" customHeight="1">
      <c r="A50" s="478" t="s">
        <v>170</v>
      </c>
      <c r="B50" s="478" t="s">
        <v>171</v>
      </c>
      <c r="C50" s="478" t="s">
        <v>172</v>
      </c>
      <c r="D50" s="478" t="s">
        <v>173</v>
      </c>
      <c r="E50" s="490"/>
      <c r="F50" s="490"/>
      <c r="G50" s="490"/>
      <c r="H50" s="490"/>
      <c r="I50" s="501"/>
      <c r="J50" s="501"/>
      <c r="K50" s="167"/>
      <c r="L50" s="480"/>
      <c r="P50" s="131"/>
      <c r="Q50" s="131"/>
      <c r="R50" s="502"/>
      <c r="S50" s="457"/>
      <c r="T50" s="485"/>
      <c r="U50" s="485"/>
      <c r="V50" s="506"/>
      <c r="W50" s="506"/>
      <c r="X50" s="506"/>
      <c r="Y50" s="510" t="str">
        <f>Z49&amp;"-"&amp;AB49</f>
        <v>-</v>
      </c>
      <c r="Z50" s="511"/>
      <c r="AA50" s="225"/>
      <c r="AB50" s="511"/>
      <c r="AC50" s="225"/>
      <c r="AD50" s="506"/>
      <c r="AE50" s="506"/>
      <c r="AF50" s="506"/>
      <c r="AG50" s="510" t="str">
        <f>AH49&amp;"-"&amp;AJ49</f>
        <v>-</v>
      </c>
      <c r="AH50" s="511"/>
      <c r="AI50" s="225"/>
      <c r="AJ50" s="570"/>
      <c r="AK50" s="225"/>
      <c r="AL50" s="571"/>
      <c r="AM50" s="512"/>
      <c r="AO50" s="128"/>
      <c r="AP50" s="128" t="str">
        <f t="shared" si="10"/>
        <v/>
      </c>
      <c r="AQ50" s="128"/>
      <c r="AR50" s="128"/>
    </row>
    <row r="51" ht="11.25" customHeight="1">
      <c r="A51" s="478" t="s">
        <v>170</v>
      </c>
      <c r="B51" s="478" t="s">
        <v>171</v>
      </c>
      <c r="C51" s="478" t="s">
        <v>172</v>
      </c>
      <c r="D51" s="478" t="s">
        <v>173</v>
      </c>
      <c r="E51" s="490"/>
      <c r="F51" s="490"/>
      <c r="G51" s="490"/>
      <c r="H51" s="490"/>
      <c r="I51" s="501"/>
      <c r="J51" s="167"/>
      <c r="K51" s="478"/>
      <c r="L51" s="480"/>
      <c r="P51" s="131"/>
      <c r="Q51" s="131"/>
      <c r="R51" s="497"/>
      <c r="S51" s="513"/>
      <c r="T51" s="517" t="s">
        <v>401</v>
      </c>
      <c r="U51" s="215"/>
      <c r="V51" s="215"/>
      <c r="W51" s="215"/>
      <c r="X51" s="215"/>
      <c r="Y51" s="215"/>
      <c r="Z51" s="215"/>
      <c r="AA51" s="215"/>
      <c r="AB51" s="215"/>
      <c r="AC51" s="215"/>
      <c r="AD51" s="215"/>
      <c r="AE51" s="215"/>
      <c r="AF51" s="215"/>
      <c r="AG51" s="215"/>
      <c r="AH51" s="215"/>
      <c r="AI51" s="215"/>
      <c r="AJ51" s="215"/>
      <c r="AK51" s="215"/>
      <c r="AL51" s="515"/>
      <c r="AM51" s="516"/>
      <c r="AO51" s="128"/>
      <c r="AP51" s="128" t="str">
        <f t="shared" si="10"/>
        <v xml:space="preserve">Добавить вид теплоносителя (параметры теплоносителя)</v>
      </c>
      <c r="AQ51" s="128"/>
      <c r="AR51" s="128"/>
    </row>
    <row r="52" ht="11.25" customHeight="1">
      <c r="A52" s="478" t="s">
        <v>170</v>
      </c>
      <c r="B52" s="478" t="s">
        <v>171</v>
      </c>
      <c r="C52" s="478" t="s">
        <v>172</v>
      </c>
      <c r="D52" s="478" t="s">
        <v>173</v>
      </c>
      <c r="E52" s="490"/>
      <c r="F52" s="490"/>
      <c r="G52" s="490"/>
      <c r="H52" s="490"/>
      <c r="I52" s="167"/>
      <c r="J52" s="478"/>
      <c r="K52" s="478"/>
      <c r="L52" s="480"/>
      <c r="P52" s="131"/>
      <c r="Q52" s="131"/>
      <c r="R52" s="497"/>
      <c r="S52" s="513"/>
      <c r="T52" s="521" t="s">
        <v>402</v>
      </c>
      <c r="U52" s="215"/>
      <c r="V52" s="215"/>
      <c r="W52" s="215"/>
      <c r="X52" s="215"/>
      <c r="Y52" s="215"/>
      <c r="Z52" s="215"/>
      <c r="AA52" s="215"/>
      <c r="AB52" s="215"/>
      <c r="AC52" s="518"/>
      <c r="AD52" s="215"/>
      <c r="AE52" s="215"/>
      <c r="AF52" s="215"/>
      <c r="AG52" s="215"/>
      <c r="AH52" s="215"/>
      <c r="AI52" s="215"/>
      <c r="AJ52" s="215"/>
      <c r="AK52" s="518"/>
      <c r="AL52" s="215"/>
      <c r="AM52" s="519"/>
      <c r="AO52" s="128"/>
      <c r="AP52" s="128" t="str">
        <f t="shared" si="10"/>
        <v xml:space="preserve">Добавить группу потребителей</v>
      </c>
      <c r="AQ52" s="128"/>
      <c r="AR52" s="128"/>
    </row>
    <row r="53" ht="0" customHeight="1">
      <c r="A53" s="478" t="s">
        <v>170</v>
      </c>
      <c r="B53" s="478" t="s">
        <v>171</v>
      </c>
      <c r="C53" s="478" t="s">
        <v>172</v>
      </c>
      <c r="D53" s="478" t="s">
        <v>173</v>
      </c>
      <c r="E53" s="490"/>
      <c r="F53" s="490"/>
      <c r="G53" s="490"/>
      <c r="H53" s="479"/>
      <c r="I53" s="478"/>
      <c r="J53" s="478"/>
      <c r="K53" s="478"/>
      <c r="L53" s="480"/>
      <c r="M53" s="481"/>
      <c r="N53" s="481"/>
      <c r="O53" s="53"/>
      <c r="P53" s="142"/>
      <c r="Q53" s="520"/>
      <c r="R53" s="482"/>
      <c r="S53" s="582"/>
      <c r="T53" s="583"/>
      <c r="U53" s="584"/>
      <c r="V53" s="584"/>
      <c r="W53" s="584"/>
      <c r="X53" s="584"/>
      <c r="Y53" s="584"/>
      <c r="Z53" s="584"/>
      <c r="AA53" s="584"/>
      <c r="AB53" s="584"/>
      <c r="AC53" s="584"/>
      <c r="AD53" s="584"/>
      <c r="AE53" s="584"/>
      <c r="AF53" s="584"/>
      <c r="AG53" s="584"/>
      <c r="AH53" s="584"/>
      <c r="AI53" s="584"/>
      <c r="AJ53" s="584"/>
      <c r="AK53" s="584"/>
      <c r="AL53" s="584"/>
      <c r="AM53" s="585"/>
      <c r="AO53" s="128"/>
      <c r="AP53" s="128" t="str">
        <f t="shared" si="10"/>
        <v/>
      </c>
      <c r="AQ53" s="128"/>
      <c r="AR53" s="128"/>
    </row>
    <row r="54" s="57" customFormat="1" ht="0.75" customHeight="1">
      <c r="A54" s="132" t="s">
        <v>170</v>
      </c>
      <c r="B54" s="132" t="s">
        <v>171</v>
      </c>
      <c r="C54" s="132" t="s">
        <v>172</v>
      </c>
      <c r="D54" s="132"/>
      <c r="E54" s="490"/>
      <c r="F54" s="490"/>
      <c r="G54" s="479"/>
      <c r="H54" s="132"/>
      <c r="I54" s="132"/>
      <c r="J54" s="132"/>
      <c r="K54" s="132"/>
      <c r="L54" s="213"/>
      <c r="M54" s="463"/>
      <c r="N54" s="463"/>
      <c r="P54" s="166"/>
      <c r="Q54" s="522"/>
      <c r="R54" s="166"/>
      <c r="S54" s="527"/>
      <c r="T54" s="530" t="s">
        <v>404</v>
      </c>
      <c r="U54" s="529"/>
      <c r="V54" s="529"/>
      <c r="W54" s="529"/>
      <c r="X54" s="529"/>
      <c r="Y54" s="529"/>
      <c r="Z54" s="529"/>
      <c r="AA54" s="529"/>
      <c r="AB54" s="529"/>
      <c r="AC54" s="529"/>
      <c r="AD54" s="529"/>
      <c r="AE54" s="529"/>
      <c r="AF54" s="529"/>
      <c r="AG54" s="529"/>
      <c r="AH54" s="529"/>
      <c r="AI54" s="529"/>
      <c r="AJ54" s="529"/>
      <c r="AK54" s="529"/>
      <c r="AL54" s="529"/>
      <c r="AM54" s="529"/>
      <c r="AO54" s="128"/>
      <c r="AP54" s="128" t="str">
        <f t="shared" si="10"/>
        <v xml:space="preserve">Добавить источник для дифференциации</v>
      </c>
      <c r="AQ54" s="128"/>
      <c r="AR54" s="128"/>
    </row>
    <row r="55" s="57" customFormat="1" ht="0.75" customHeight="1">
      <c r="A55" s="132" t="s">
        <v>170</v>
      </c>
      <c r="B55" s="132" t="s">
        <v>171</v>
      </c>
      <c r="C55" s="132"/>
      <c r="D55" s="132"/>
      <c r="E55" s="490"/>
      <c r="F55" s="479"/>
      <c r="G55" s="132"/>
      <c r="H55" s="132"/>
      <c r="I55" s="132"/>
      <c r="J55" s="132"/>
      <c r="K55" s="132"/>
      <c r="L55" s="213"/>
      <c r="M55" s="526"/>
      <c r="N55" s="526"/>
      <c r="P55" s="166"/>
      <c r="Q55" s="522"/>
      <c r="R55" s="166"/>
      <c r="S55" s="527"/>
      <c r="T55" s="530" t="s">
        <v>405</v>
      </c>
      <c r="U55" s="529"/>
      <c r="V55" s="529"/>
      <c r="W55" s="529"/>
      <c r="X55" s="529"/>
      <c r="Y55" s="529"/>
      <c r="Z55" s="529"/>
      <c r="AA55" s="529"/>
      <c r="AB55" s="529"/>
      <c r="AC55" s="529"/>
      <c r="AD55" s="529"/>
      <c r="AE55" s="529"/>
      <c r="AF55" s="529"/>
      <c r="AG55" s="529"/>
      <c r="AH55" s="529"/>
      <c r="AI55" s="529"/>
      <c r="AJ55" s="529"/>
      <c r="AK55" s="529"/>
      <c r="AL55" s="529"/>
      <c r="AM55" s="529"/>
      <c r="AO55" s="128"/>
      <c r="AP55" s="128" t="str">
        <f t="shared" si="10"/>
        <v xml:space="preserve">Добавить централизованную систему для дифференциации</v>
      </c>
      <c r="AQ55" s="128"/>
      <c r="AR55" s="128"/>
    </row>
    <row r="56" s="57" customFormat="1" ht="0.75" customHeight="1">
      <c r="A56" s="132" t="s">
        <v>170</v>
      </c>
      <c r="B56" s="132"/>
      <c r="C56" s="132"/>
      <c r="D56" s="132"/>
      <c r="E56" s="479"/>
      <c r="F56" s="132"/>
      <c r="G56" s="132"/>
      <c r="H56" s="132"/>
      <c r="I56" s="132"/>
      <c r="J56" s="132"/>
      <c r="K56" s="132"/>
      <c r="L56" s="213"/>
      <c r="M56" s="526"/>
      <c r="N56" s="526"/>
      <c r="O56" s="57"/>
      <c r="P56" s="166"/>
      <c r="Q56" s="522"/>
      <c r="R56" s="166"/>
      <c r="S56" s="527"/>
      <c r="T56" s="530" t="s">
        <v>406</v>
      </c>
      <c r="U56" s="529"/>
      <c r="V56" s="529"/>
      <c r="W56" s="529"/>
      <c r="X56" s="529"/>
      <c r="Y56" s="529"/>
      <c r="Z56" s="529"/>
      <c r="AA56" s="529"/>
      <c r="AB56" s="529"/>
      <c r="AC56" s="529"/>
      <c r="AD56" s="529"/>
      <c r="AE56" s="529"/>
      <c r="AF56" s="529"/>
      <c r="AG56" s="529"/>
      <c r="AH56" s="529"/>
      <c r="AI56" s="529"/>
      <c r="AJ56" s="529"/>
      <c r="AK56" s="529"/>
      <c r="AL56" s="529"/>
      <c r="AM56" s="529"/>
      <c r="AO56" s="128"/>
      <c r="AP56" s="128" t="str">
        <f t="shared" si="10"/>
        <v xml:space="preserve">Добавить территорию для дифференциации</v>
      </c>
      <c r="AQ56" s="128"/>
      <c r="AR56" s="128"/>
    </row>
    <row r="57" s="57" customFormat="1" ht="0.75" customHeight="1">
      <c r="A57" s="132"/>
      <c r="B57" s="132"/>
      <c r="C57" s="132"/>
      <c r="D57" s="132"/>
      <c r="E57" s="132"/>
      <c r="F57" s="132"/>
      <c r="G57" s="132"/>
      <c r="H57" s="132"/>
      <c r="I57" s="132"/>
      <c r="J57" s="132"/>
      <c r="K57" s="132"/>
      <c r="L57" s="213"/>
      <c r="M57" s="526"/>
      <c r="N57" s="526"/>
      <c r="P57" s="166"/>
      <c r="Q57" s="522"/>
      <c r="R57" s="166"/>
      <c r="S57" s="527"/>
      <c r="T57" s="530" t="s">
        <v>438</v>
      </c>
      <c r="U57" s="529"/>
      <c r="V57" s="529"/>
      <c r="W57" s="529"/>
      <c r="X57" s="529"/>
      <c r="Y57" s="529"/>
      <c r="Z57" s="529"/>
      <c r="AA57" s="529"/>
      <c r="AB57" s="529"/>
      <c r="AC57" s="529"/>
      <c r="AD57" s="529"/>
      <c r="AE57" s="529"/>
      <c r="AF57" s="529"/>
      <c r="AG57" s="529"/>
      <c r="AH57" s="529"/>
      <c r="AI57" s="529"/>
      <c r="AJ57" s="529"/>
      <c r="AK57" s="529"/>
      <c r="AL57" s="529"/>
      <c r="AM57" s="529"/>
      <c r="AO57" s="128"/>
      <c r="AP57" s="128" t="str">
        <f t="shared" si="10"/>
        <v xml:space="preserve">Добавить наименование тарифа</v>
      </c>
      <c r="AQ57" s="128"/>
      <c r="AR57" s="128"/>
    </row>
    <row r="58" ht="11.25" customHeight="1">
      <c r="M58" s="53"/>
      <c r="N58" s="53"/>
      <c r="O58" s="53"/>
      <c r="P58" s="50"/>
      <c r="Q58" s="50"/>
      <c r="R58" s="50"/>
      <c r="S58" s="50"/>
      <c r="AN58" s="50"/>
      <c r="AO58" s="50"/>
      <c r="AP58" s="50"/>
      <c r="AQ58" s="50"/>
      <c r="AR58" s="50"/>
    </row>
    <row r="59" ht="18.75" customHeight="1">
      <c r="O59" s="53"/>
      <c r="S59" s="475"/>
      <c r="T59" s="572"/>
      <c r="U59" s="572"/>
      <c r="V59" s="572"/>
      <c r="W59" s="572"/>
      <c r="X59" s="572"/>
      <c r="Y59" s="572"/>
      <c r="Z59" s="572"/>
      <c r="AA59" s="572"/>
      <c r="AB59" s="572"/>
      <c r="AC59" s="572"/>
      <c r="AD59" s="572"/>
      <c r="AE59" s="572"/>
      <c r="AF59" s="572"/>
      <c r="AG59" s="572"/>
      <c r="AH59" s="572"/>
      <c r="AI59" s="572"/>
      <c r="AJ59" s="572"/>
      <c r="AK59" s="572"/>
      <c r="AL59" s="572"/>
      <c r="AM59" s="572"/>
    </row>
    <row r="60" ht="27.75" customHeight="1">
      <c r="O60" s="53"/>
      <c r="T60" s="572"/>
      <c r="U60" s="572"/>
      <c r="V60" s="572"/>
      <c r="W60" s="572"/>
      <c r="X60" s="572"/>
      <c r="Y60" s="572"/>
      <c r="Z60" s="572"/>
      <c r="AA60" s="572"/>
      <c r="AB60" s="572"/>
      <c r="AC60" s="572"/>
      <c r="AD60" s="572"/>
      <c r="AE60" s="572"/>
      <c r="AF60" s="572"/>
      <c r="AG60" s="572"/>
      <c r="AH60" s="572"/>
      <c r="AI60" s="572"/>
      <c r="AJ60" s="572"/>
      <c r="AK60" s="572"/>
      <c r="AL60" s="572"/>
      <c r="AM60" s="572"/>
    </row>
    <row r="61" ht="39.75" customHeight="1">
      <c r="O61" s="53"/>
      <c r="T61" s="572"/>
      <c r="U61" s="572"/>
      <c r="V61" s="572"/>
      <c r="W61" s="572"/>
      <c r="X61" s="572"/>
      <c r="Y61" s="572"/>
      <c r="Z61" s="572"/>
      <c r="AA61" s="572"/>
      <c r="AB61" s="572"/>
      <c r="AC61" s="572"/>
      <c r="AD61" s="572"/>
      <c r="AE61" s="572"/>
      <c r="AF61" s="572"/>
      <c r="AG61" s="572"/>
      <c r="AH61" s="572"/>
      <c r="AI61" s="572"/>
      <c r="AJ61" s="572"/>
      <c r="AK61" s="572"/>
      <c r="AL61" s="572"/>
      <c r="AM61" s="572"/>
    </row>
    <row r="62" ht="14.25" customHeight="1">
      <c r="O62" s="53"/>
    </row>
    <row r="63" ht="19.5" customHeight="1">
      <c r="O63" s="53"/>
      <c r="S63" s="475"/>
      <c r="T63" s="289"/>
      <c r="U63" s="572"/>
      <c r="V63" s="572"/>
      <c r="W63" s="572"/>
      <c r="X63" s="572"/>
      <c r="Y63" s="572"/>
      <c r="Z63" s="572"/>
      <c r="AA63" s="572"/>
      <c r="AB63" s="572"/>
      <c r="AC63" s="572"/>
      <c r="AD63" s="572"/>
      <c r="AE63" s="572"/>
      <c r="AF63" s="572"/>
      <c r="AG63" s="572"/>
      <c r="AH63" s="572"/>
      <c r="AI63" s="572"/>
      <c r="AJ63" s="572"/>
      <c r="AK63" s="572"/>
      <c r="AL63" s="572"/>
      <c r="AM63" s="572"/>
    </row>
    <row r="64" ht="27.75" customHeight="1">
      <c r="O64" s="53"/>
      <c r="T64" s="572"/>
      <c r="U64" s="572"/>
      <c r="V64" s="572"/>
      <c r="W64" s="572"/>
      <c r="X64" s="572"/>
      <c r="Y64" s="572"/>
      <c r="Z64" s="572"/>
      <c r="AA64" s="572"/>
      <c r="AB64" s="572"/>
      <c r="AC64" s="572"/>
      <c r="AD64" s="572"/>
      <c r="AE64" s="572"/>
      <c r="AF64" s="572"/>
      <c r="AG64" s="572"/>
      <c r="AH64" s="572"/>
      <c r="AI64" s="572"/>
      <c r="AJ64" s="572"/>
      <c r="AK64" s="572"/>
      <c r="AL64" s="572"/>
      <c r="AM64" s="572"/>
    </row>
    <row r="65" ht="33.75" customHeight="1">
      <c r="T65" s="572"/>
      <c r="U65" s="572"/>
      <c r="V65" s="572"/>
      <c r="W65" s="572"/>
      <c r="X65" s="572"/>
      <c r="Y65" s="572"/>
      <c r="Z65" s="572"/>
      <c r="AA65" s="572"/>
      <c r="AB65" s="572"/>
      <c r="AC65" s="572"/>
      <c r="AD65" s="572"/>
      <c r="AE65" s="572"/>
      <c r="AF65" s="572"/>
      <c r="AG65" s="572"/>
      <c r="AH65" s="572"/>
      <c r="AI65" s="572"/>
      <c r="AJ65" s="572"/>
      <c r="AK65" s="572"/>
      <c r="AL65" s="572"/>
      <c r="AM65" s="572"/>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96003A-00D3-4463-ADAD-004A00BE00F6}"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3C0032-0062-4CBE-BDC4-00E900B500C0}"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F900FF-0061-4699-BAB2-00080023009E}"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740092-0054-4AA0-83BD-000D00BA0080}"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Q25"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0" width="3.7109375"/>
    <col customWidth="1" min="17" max="18" style="477" width="3.7109375"/>
    <col customWidth="1" min="19" max="19" style="322" width="12.7109375"/>
    <col customWidth="1" min="20" max="20" style="50" width="32.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7109375"/>
    <col customWidth="1" min="34" max="34" style="50" width="11.7109375"/>
    <col customWidth="1" min="35" max="35" style="50" width="3.7109375"/>
    <col customWidth="1" min="36" max="36" style="50" width="11.7109375"/>
    <col customWidth="1" hidden="1" min="37" max="37" style="50" width="8.57421875"/>
    <col customWidth="1" min="38" max="38" style="50" width="4.7109375"/>
    <col customWidth="1" min="39" max="39" style="50" width="115.7109375"/>
    <col min="40" max="41" style="57" width="10.57421875"/>
    <col customWidth="1" min="42" max="42" style="57" width="11.140625"/>
    <col min="43" max="44" style="57" width="10.57421875"/>
  </cols>
  <sheetData>
    <row r="1" ht="14.25" hidden="1" customHeight="1">
      <c r="A1" s="587"/>
      <c r="Y1" s="50"/>
      <c r="Z1" s="50"/>
      <c r="AG1" s="50"/>
      <c r="AH1" s="50"/>
    </row>
    <row r="2" ht="21"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7"/>
      <c r="AC2" s="488"/>
      <c r="AD2" s="486" t="e">
        <f>INDEX(PT_DIFFERENTIATION_NTAR,MATCH(A2,PT_DIFFERENTIATION_NTAR_ID,0))</f>
        <v>#VALUE!</v>
      </c>
      <c r="AE2" s="487"/>
      <c r="AF2" s="487"/>
      <c r="AG2" s="487"/>
      <c r="AH2" s="487"/>
      <c r="AI2" s="487"/>
      <c r="AJ2" s="487"/>
      <c r="AK2" s="487"/>
      <c r="AL2" s="488"/>
      <c r="AM2" s="489" t="s">
        <v>386</v>
      </c>
      <c r="AO2" s="128"/>
      <c r="AP2" s="128" t="str">
        <f t="shared" ref="AP2:AP9" si="11">IF(T2="","",T2)</f>
        <v xml:space="preserve">Наименование тарифа</v>
      </c>
      <c r="AQ2" s="128"/>
      <c r="AR2" s="128"/>
    </row>
    <row r="3" ht="21"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7"/>
      <c r="AC3" s="488"/>
      <c r="AD3" s="486" t="e">
        <f>INDEX(PT_DIFFERENTIATION_TER,MATCH(B3,PT_DIFFERENTIATION_TER_ID,0))</f>
        <v>#VALUE!</v>
      </c>
      <c r="AE3" s="487"/>
      <c r="AF3" s="487"/>
      <c r="AG3" s="487"/>
      <c r="AH3" s="487"/>
      <c r="AI3" s="487"/>
      <c r="AJ3" s="487"/>
      <c r="AK3" s="487"/>
      <c r="AL3" s="488"/>
      <c r="AM3" s="489" t="s">
        <v>388</v>
      </c>
      <c r="AO3" s="128"/>
      <c r="AP3" s="128" t="str">
        <f t="shared" si="11"/>
        <v xml:space="preserve">Территория действия тарифа</v>
      </c>
      <c r="AQ3" s="128"/>
      <c r="AR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389</v>
      </c>
      <c r="U4" s="485"/>
      <c r="V4" s="486"/>
      <c r="W4" s="487"/>
      <c r="X4" s="487"/>
      <c r="Y4" s="487"/>
      <c r="Z4" s="487"/>
      <c r="AA4" s="487"/>
      <c r="AB4" s="487"/>
      <c r="AC4" s="488"/>
      <c r="AD4" s="486" t="e">
        <f>INDEX(PT_DIFFERENTIATION_CS,MATCH(C4,PT_DIFFERENTIATION_CS_ID,0))</f>
        <v>#VALUE!</v>
      </c>
      <c r="AE4" s="487"/>
      <c r="AF4" s="487"/>
      <c r="AG4" s="487"/>
      <c r="AH4" s="487"/>
      <c r="AI4" s="487"/>
      <c r="AJ4" s="487"/>
      <c r="AK4" s="487"/>
      <c r="AL4" s="488"/>
      <c r="AM4" s="489" t="s">
        <v>390</v>
      </c>
      <c r="AO4" s="128"/>
      <c r="AP4" s="128" t="str">
        <f t="shared" si="11"/>
        <v xml:space="preserve">Наименование системы теплоснабжения</v>
      </c>
      <c r="AQ4" s="128"/>
      <c r="AR4" s="128"/>
    </row>
    <row r="5" ht="21" hidden="1" customHeight="1">
      <c r="A5" s="478"/>
      <c r="B5" s="478"/>
      <c r="C5" s="478"/>
      <c r="D5" s="478"/>
      <c r="E5" s="490"/>
      <c r="F5" s="490"/>
      <c r="G5" s="490"/>
      <c r="H5" s="479">
        <v>1</v>
      </c>
      <c r="I5" s="478"/>
      <c r="J5" s="478"/>
      <c r="K5" s="478"/>
      <c r="L5" s="480"/>
      <c r="M5" s="481"/>
      <c r="N5" s="481"/>
      <c r="O5" s="481"/>
      <c r="P5" s="494"/>
      <c r="Q5" s="491"/>
      <c r="R5" s="492"/>
      <c r="S5" s="483" t="e">
        <f>INDEX(PT_DIFFERENTIATION_NUM_IST_TE,MATCH(D5,PT_DIFFERENTIATION_IST_TE_ID,0))</f>
        <v>#VALUE!</v>
      </c>
      <c r="T5" s="496" t="s">
        <v>391</v>
      </c>
      <c r="U5" s="485"/>
      <c r="V5" s="486"/>
      <c r="W5" s="487"/>
      <c r="X5" s="487"/>
      <c r="Y5" s="487"/>
      <c r="Z5" s="487"/>
      <c r="AA5" s="487"/>
      <c r="AB5" s="487"/>
      <c r="AC5" s="488"/>
      <c r="AD5" s="486" t="e">
        <f>INDEX(PT_DIFFERENTIATION_IST_TE,MATCH(D5,PT_DIFFERENTIATION_IST_TE_ID,0))</f>
        <v>#VALUE!</v>
      </c>
      <c r="AE5" s="487"/>
      <c r="AF5" s="487"/>
      <c r="AG5" s="487"/>
      <c r="AH5" s="487"/>
      <c r="AI5" s="487"/>
      <c r="AJ5" s="487"/>
      <c r="AK5" s="487"/>
      <c r="AL5" s="488"/>
      <c r="AM5" s="489" t="s">
        <v>392</v>
      </c>
      <c r="AO5" s="128"/>
      <c r="AP5" s="128" t="str">
        <f t="shared" si="11"/>
        <v xml:space="preserve">Источник тепловой энергии</v>
      </c>
      <c r="AQ5" s="128"/>
      <c r="AR5" s="128"/>
    </row>
    <row r="6" ht="14.25" hidden="1" customHeight="1">
      <c r="A6" s="478"/>
      <c r="B6" s="478"/>
      <c r="C6" s="478"/>
      <c r="D6" s="478"/>
      <c r="E6" s="490"/>
      <c r="F6" s="490"/>
      <c r="G6" s="490"/>
      <c r="H6" s="490"/>
      <c r="I6" s="167" t="e">
        <f>S5&amp;".1"</f>
        <v>#VALUE!</v>
      </c>
      <c r="J6" s="478"/>
      <c r="K6" s="478"/>
      <c r="L6" s="480" t="s">
        <v>393</v>
      </c>
      <c r="M6" s="53"/>
      <c r="P6" s="131">
        <v>1</v>
      </c>
      <c r="Q6" s="131"/>
      <c r="R6" s="497"/>
      <c r="S6" s="351"/>
      <c r="T6" s="576"/>
      <c r="U6" s="577"/>
      <c r="V6" s="578"/>
      <c r="W6" s="579"/>
      <c r="X6" s="579"/>
      <c r="Y6" s="579"/>
      <c r="Z6" s="579"/>
      <c r="AA6" s="579"/>
      <c r="AB6" s="579"/>
      <c r="AC6" s="580"/>
      <c r="AD6" s="578"/>
      <c r="AE6" s="579"/>
      <c r="AF6" s="579"/>
      <c r="AG6" s="579"/>
      <c r="AH6" s="579"/>
      <c r="AI6" s="579"/>
      <c r="AJ6" s="579"/>
      <c r="AK6" s="579"/>
      <c r="AL6" s="580"/>
      <c r="AM6" s="581"/>
      <c r="AO6" s="128"/>
      <c r="AP6" s="128" t="str">
        <f t="shared" si="11"/>
        <v/>
      </c>
      <c r="AQ6" s="128"/>
      <c r="AR6" s="128"/>
    </row>
    <row r="7" ht="21" hidden="1" customHeight="1">
      <c r="A7" s="478"/>
      <c r="B7" s="478"/>
      <c r="C7" s="478"/>
      <c r="D7" s="478"/>
      <c r="E7" s="490"/>
      <c r="F7" s="490"/>
      <c r="G7" s="490"/>
      <c r="H7" s="490"/>
      <c r="I7" s="501"/>
      <c r="J7" s="167" t="e">
        <f>I6&amp;".1"</f>
        <v>#VALUE!</v>
      </c>
      <c r="K7" s="478"/>
      <c r="L7" s="480" t="s">
        <v>396</v>
      </c>
      <c r="M7" s="53"/>
      <c r="N7" s="53"/>
      <c r="P7" s="131"/>
      <c r="Q7" s="131">
        <v>1</v>
      </c>
      <c r="R7" s="502"/>
      <c r="S7" s="483" t="e">
        <f>$J7</f>
        <v>#VALUE!</v>
      </c>
      <c r="T7" s="503" t="s">
        <v>397</v>
      </c>
      <c r="U7" s="485"/>
      <c r="V7" s="430"/>
      <c r="W7" s="499"/>
      <c r="X7" s="499"/>
      <c r="Y7" s="499"/>
      <c r="Z7" s="499"/>
      <c r="AA7" s="499"/>
      <c r="AB7" s="499"/>
      <c r="AC7" s="500"/>
      <c r="AD7" s="430"/>
      <c r="AE7" s="499"/>
      <c r="AF7" s="499"/>
      <c r="AG7" s="499"/>
      <c r="AH7" s="499"/>
      <c r="AI7" s="499"/>
      <c r="AJ7" s="499"/>
      <c r="AK7" s="499"/>
      <c r="AL7" s="500"/>
      <c r="AM7" s="489" t="s">
        <v>398</v>
      </c>
      <c r="AO7" s="128"/>
      <c r="AP7" s="128" t="str">
        <f t="shared" si="11"/>
        <v xml:space="preserve">Группа потребителей</v>
      </c>
      <c r="AQ7" s="128"/>
      <c r="AR7" s="128"/>
    </row>
    <row r="8" ht="21" hidden="1" customHeight="1">
      <c r="A8" s="478"/>
      <c r="B8" s="478"/>
      <c r="C8" s="478"/>
      <c r="D8" s="478"/>
      <c r="E8" s="490"/>
      <c r="F8" s="490"/>
      <c r="G8" s="490"/>
      <c r="H8" s="490"/>
      <c r="I8" s="501"/>
      <c r="J8" s="501"/>
      <c r="K8" s="167" t="e">
        <f>J7&amp;".1"</f>
        <v>#VALUE!</v>
      </c>
      <c r="L8" s="480" t="s">
        <v>399</v>
      </c>
      <c r="M8" s="53"/>
      <c r="N8" s="53"/>
      <c r="O8" s="53"/>
      <c r="P8" s="131"/>
      <c r="Q8" s="131"/>
      <c r="R8" s="502">
        <v>1</v>
      </c>
      <c r="S8" s="483" t="e">
        <f>$K8</f>
        <v>#VALUE!</v>
      </c>
      <c r="T8" s="504"/>
      <c r="U8" s="485"/>
      <c r="V8" s="505"/>
      <c r="W8" s="506"/>
      <c r="X8" s="505"/>
      <c r="Y8" s="507"/>
      <c r="Z8" s="508"/>
      <c r="AA8" s="225" t="s">
        <v>56</v>
      </c>
      <c r="AB8" s="508"/>
      <c r="AC8" s="225" t="s">
        <v>56</v>
      </c>
      <c r="AD8" s="505"/>
      <c r="AE8" s="506"/>
      <c r="AF8" s="505"/>
      <c r="AG8" s="507"/>
      <c r="AH8" s="508"/>
      <c r="AI8" s="225" t="s">
        <v>56</v>
      </c>
      <c r="AJ8" s="508"/>
      <c r="AK8" s="225" t="s">
        <v>56</v>
      </c>
      <c r="AL8" s="506"/>
      <c r="AM8" s="509" t="s">
        <v>400</v>
      </c>
      <c r="AN8" s="57" t="e">
        <f>STRCHECKDATE(V9:AL9)</f>
        <v>#NAME?</v>
      </c>
      <c r="AO8" s="128"/>
      <c r="AP8" s="128" t="str">
        <f t="shared" si="11"/>
        <v/>
      </c>
      <c r="AQ8" s="128"/>
      <c r="AR8" s="128"/>
    </row>
    <row r="9" ht="14.25" hidden="1" customHeight="1">
      <c r="A9" s="478"/>
      <c r="B9" s="478"/>
      <c r="C9" s="478"/>
      <c r="D9" s="478"/>
      <c r="E9" s="490"/>
      <c r="F9" s="490"/>
      <c r="G9" s="490"/>
      <c r="H9" s="490"/>
      <c r="I9" s="501"/>
      <c r="J9" s="501"/>
      <c r="K9" s="167"/>
      <c r="L9" s="480"/>
      <c r="M9" s="53"/>
      <c r="N9" s="53"/>
      <c r="O9" s="53"/>
      <c r="P9" s="131"/>
      <c r="Q9" s="131"/>
      <c r="R9" s="502"/>
      <c r="S9" s="457"/>
      <c r="T9" s="485"/>
      <c r="U9" s="485"/>
      <c r="V9" s="506"/>
      <c r="W9" s="506"/>
      <c r="X9" s="506"/>
      <c r="Y9" s="510" t="str">
        <f>Z8&amp;"-"&amp;AB8</f>
        <v>-</v>
      </c>
      <c r="Z9" s="511"/>
      <c r="AA9" s="225"/>
      <c r="AB9" s="511"/>
      <c r="AC9" s="225"/>
      <c r="AD9" s="506"/>
      <c r="AE9" s="506"/>
      <c r="AF9" s="506"/>
      <c r="AG9" s="510" t="str">
        <f>AH8&amp;"-"&amp;AJ8</f>
        <v>-</v>
      </c>
      <c r="AH9" s="511"/>
      <c r="AI9" s="225"/>
      <c r="AJ9" s="511"/>
      <c r="AK9" s="225"/>
      <c r="AL9" s="506"/>
      <c r="AM9" s="512"/>
      <c r="AO9" s="128"/>
      <c r="AP9" s="128" t="str">
        <f t="shared" si="11"/>
        <v/>
      </c>
      <c r="AQ9" s="128"/>
      <c r="AR9" s="128"/>
    </row>
    <row r="10" ht="15" hidden="1" customHeight="1">
      <c r="A10" s="478"/>
      <c r="B10" s="478"/>
      <c r="C10" s="478"/>
      <c r="D10" s="478"/>
      <c r="E10" s="490"/>
      <c r="F10" s="490"/>
      <c r="G10" s="490"/>
      <c r="H10" s="490"/>
      <c r="I10" s="501"/>
      <c r="J10" s="167"/>
      <c r="K10" s="478"/>
      <c r="L10" s="480"/>
      <c r="M10" s="53"/>
      <c r="N10" s="53"/>
      <c r="P10" s="131"/>
      <c r="Q10" s="131"/>
      <c r="R10" s="497"/>
      <c r="S10" s="513"/>
      <c r="T10" s="517" t="s">
        <v>401</v>
      </c>
      <c r="U10" s="215"/>
      <c r="V10" s="215"/>
      <c r="W10" s="215"/>
      <c r="X10" s="215"/>
      <c r="Y10" s="215"/>
      <c r="Z10" s="215"/>
      <c r="AA10" s="215"/>
      <c r="AB10" s="215"/>
      <c r="AC10" s="215"/>
      <c r="AD10" s="215"/>
      <c r="AE10" s="215"/>
      <c r="AF10" s="215"/>
      <c r="AG10" s="215"/>
      <c r="AH10" s="215"/>
      <c r="AI10" s="215"/>
      <c r="AJ10" s="215"/>
      <c r="AK10" s="215"/>
      <c r="AL10" s="515"/>
      <c r="AM10" s="516"/>
      <c r="AO10" s="128"/>
      <c r="AP10" s="128" t="str">
        <f t="shared" ref="AP10:AP57" si="12">IF(T10="","",T10)</f>
        <v xml:space="preserve">Добавить вид теплоносителя (параметры теплоносителя)</v>
      </c>
      <c r="AQ10" s="128"/>
      <c r="AR10" s="128"/>
    </row>
    <row r="11" ht="11.25" hidden="1" customHeight="1">
      <c r="A11" s="478"/>
      <c r="B11" s="478"/>
      <c r="C11" s="478"/>
      <c r="D11" s="478"/>
      <c r="E11" s="490"/>
      <c r="F11" s="490"/>
      <c r="G11" s="490"/>
      <c r="H11" s="490"/>
      <c r="I11" s="167"/>
      <c r="J11" s="478"/>
      <c r="K11" s="478"/>
      <c r="L11" s="480"/>
      <c r="M11" s="53"/>
      <c r="P11" s="131"/>
      <c r="Q11" s="131"/>
      <c r="R11" s="497"/>
      <c r="S11" s="513"/>
      <c r="T11" s="521" t="s">
        <v>402</v>
      </c>
      <c r="U11" s="215"/>
      <c r="V11" s="215"/>
      <c r="W11" s="215"/>
      <c r="X11" s="215"/>
      <c r="Y11" s="215"/>
      <c r="Z11" s="215"/>
      <c r="AA11" s="215"/>
      <c r="AB11" s="215"/>
      <c r="AC11" s="518"/>
      <c r="AD11" s="215"/>
      <c r="AE11" s="215"/>
      <c r="AF11" s="215"/>
      <c r="AG11" s="215"/>
      <c r="AH11" s="215"/>
      <c r="AI11" s="215"/>
      <c r="AJ11" s="215"/>
      <c r="AK11" s="518"/>
      <c r="AL11" s="215"/>
      <c r="AM11" s="519"/>
      <c r="AO11" s="128"/>
      <c r="AP11" s="128" t="str">
        <f t="shared" si="12"/>
        <v xml:space="preserve">Добавить группу потребителей</v>
      </c>
      <c r="AQ11" s="128"/>
      <c r="AR11" s="128"/>
    </row>
    <row r="12" ht="14.25" hidden="1" customHeight="1">
      <c r="A12" s="478"/>
      <c r="B12" s="478"/>
      <c r="C12" s="478"/>
      <c r="D12" s="478"/>
      <c r="E12" s="490"/>
      <c r="F12" s="490"/>
      <c r="G12" s="490"/>
      <c r="H12" s="479"/>
      <c r="I12" s="478"/>
      <c r="J12" s="478"/>
      <c r="K12" s="478"/>
      <c r="L12" s="480"/>
      <c r="M12" s="481"/>
      <c r="N12" s="481"/>
      <c r="O12" s="53"/>
      <c r="P12" s="142"/>
      <c r="Q12" s="520"/>
      <c r="R12" s="482"/>
      <c r="S12" s="582"/>
      <c r="T12" s="583"/>
      <c r="U12" s="584"/>
      <c r="V12" s="584"/>
      <c r="W12" s="584"/>
      <c r="X12" s="584"/>
      <c r="Y12" s="584"/>
      <c r="Z12" s="584"/>
      <c r="AA12" s="584"/>
      <c r="AB12" s="584"/>
      <c r="AC12" s="584"/>
      <c r="AD12" s="584"/>
      <c r="AE12" s="584"/>
      <c r="AF12" s="584"/>
      <c r="AG12" s="584"/>
      <c r="AH12" s="584"/>
      <c r="AI12" s="584"/>
      <c r="AJ12" s="584"/>
      <c r="AK12" s="584"/>
      <c r="AL12" s="584"/>
      <c r="AM12" s="585"/>
      <c r="AO12" s="128"/>
      <c r="AP12" s="128" t="str">
        <f t="shared" si="12"/>
        <v/>
      </c>
      <c r="AQ12" s="128"/>
      <c r="AR12" s="128"/>
    </row>
    <row r="13" s="57" customFormat="1" ht="14.25" hidden="1" customHeight="1">
      <c r="A13" s="132"/>
      <c r="B13" s="132"/>
      <c r="C13" s="132"/>
      <c r="D13" s="132"/>
      <c r="E13" s="490"/>
      <c r="F13" s="490"/>
      <c r="G13" s="479"/>
      <c r="H13" s="132"/>
      <c r="I13" s="132"/>
      <c r="J13" s="132"/>
      <c r="K13" s="132"/>
      <c r="L13" s="213"/>
      <c r="M13" s="463"/>
      <c r="N13" s="463"/>
      <c r="P13" s="166"/>
      <c r="Q13" s="522"/>
      <c r="R13" s="166"/>
      <c r="S13" s="523"/>
      <c r="T13" s="524" t="s">
        <v>404</v>
      </c>
      <c r="U13" s="525"/>
      <c r="V13" s="525"/>
      <c r="W13" s="525"/>
      <c r="X13" s="525"/>
      <c r="Y13" s="525"/>
      <c r="Z13" s="525"/>
      <c r="AA13" s="525"/>
      <c r="AB13" s="525"/>
      <c r="AC13" s="525"/>
      <c r="AD13" s="525"/>
      <c r="AE13" s="525"/>
      <c r="AF13" s="525"/>
      <c r="AG13" s="525"/>
      <c r="AH13" s="525"/>
      <c r="AI13" s="525"/>
      <c r="AJ13" s="525"/>
      <c r="AK13" s="525"/>
      <c r="AL13" s="525"/>
      <c r="AM13" s="525"/>
      <c r="AO13" s="128"/>
      <c r="AP13" s="128" t="str">
        <f t="shared" si="12"/>
        <v xml:space="preserve">Добавить источник для дифференциации</v>
      </c>
      <c r="AQ13" s="128"/>
      <c r="AR13" s="128"/>
    </row>
    <row r="14" s="57" customFormat="1" ht="14.25" hidden="1" customHeight="1">
      <c r="A14" s="132"/>
      <c r="B14" s="132"/>
      <c r="C14" s="132"/>
      <c r="D14" s="132"/>
      <c r="E14" s="490"/>
      <c r="F14" s="479"/>
      <c r="G14" s="132"/>
      <c r="H14" s="132"/>
      <c r="I14" s="132"/>
      <c r="J14" s="132"/>
      <c r="K14" s="132"/>
      <c r="L14" s="213"/>
      <c r="M14" s="526"/>
      <c r="N14" s="526"/>
      <c r="P14" s="166"/>
      <c r="Q14" s="522"/>
      <c r="R14" s="166"/>
      <c r="S14" s="527"/>
      <c r="T14" s="528" t="s">
        <v>405</v>
      </c>
      <c r="U14" s="529"/>
      <c r="V14" s="529"/>
      <c r="W14" s="529"/>
      <c r="X14" s="529"/>
      <c r="Y14" s="529"/>
      <c r="Z14" s="529"/>
      <c r="AA14" s="529"/>
      <c r="AB14" s="529"/>
      <c r="AC14" s="529"/>
      <c r="AD14" s="529"/>
      <c r="AE14" s="529"/>
      <c r="AF14" s="529"/>
      <c r="AG14" s="529"/>
      <c r="AH14" s="529"/>
      <c r="AI14" s="529"/>
      <c r="AJ14" s="529"/>
      <c r="AK14" s="529"/>
      <c r="AL14" s="529"/>
      <c r="AM14" s="529"/>
      <c r="AO14" s="128"/>
      <c r="AP14" s="128" t="str">
        <f t="shared" si="12"/>
        <v xml:space="preserve">Добавить централизованную систему для дифференциации</v>
      </c>
      <c r="AQ14" s="128"/>
      <c r="AR14" s="128"/>
    </row>
    <row r="15" s="57" customFormat="1" ht="14.25" hidden="1" customHeight="1">
      <c r="A15" s="132"/>
      <c r="B15" s="132"/>
      <c r="C15" s="132"/>
      <c r="D15" s="132"/>
      <c r="E15" s="479"/>
      <c r="F15" s="132"/>
      <c r="G15" s="132"/>
      <c r="H15" s="132"/>
      <c r="I15" s="132"/>
      <c r="J15" s="132"/>
      <c r="K15" s="132"/>
      <c r="L15" s="213"/>
      <c r="M15" s="526"/>
      <c r="N15" s="526"/>
      <c r="P15" s="166"/>
      <c r="Q15" s="522"/>
      <c r="R15" s="166"/>
      <c r="S15" s="527"/>
      <c r="T15" s="530" t="s">
        <v>406</v>
      </c>
      <c r="U15" s="529"/>
      <c r="V15" s="529"/>
      <c r="W15" s="529"/>
      <c r="X15" s="529"/>
      <c r="Y15" s="529"/>
      <c r="Z15" s="529"/>
      <c r="AA15" s="529"/>
      <c r="AB15" s="529"/>
      <c r="AC15" s="529"/>
      <c r="AD15" s="529"/>
      <c r="AE15" s="529"/>
      <c r="AF15" s="529"/>
      <c r="AG15" s="529"/>
      <c r="AH15" s="529"/>
      <c r="AI15" s="529"/>
      <c r="AJ15" s="529"/>
      <c r="AK15" s="529"/>
      <c r="AL15" s="529"/>
      <c r="AM15" s="529"/>
      <c r="AO15" s="128"/>
      <c r="AP15" s="128" t="str">
        <f t="shared" si="12"/>
        <v xml:space="preserve">Добавить территорию для дифференциации</v>
      </c>
      <c r="AQ15" s="128"/>
      <c r="AR15" s="128"/>
    </row>
    <row r="16" ht="14.25" hidden="1" customHeight="1">
      <c r="AC16" s="50"/>
      <c r="AK16" s="50"/>
    </row>
    <row r="17" ht="14.25" hidden="1" customHeight="1">
      <c r="AD17" s="531"/>
      <c r="AE17" s="531"/>
      <c r="AF17" s="531"/>
      <c r="AG17" s="532"/>
      <c r="AH17" s="533"/>
      <c r="AI17" s="534" t="s">
        <v>56</v>
      </c>
      <c r="AJ17" s="533"/>
      <c r="AK17" s="534" t="s">
        <v>56</v>
      </c>
    </row>
    <row r="18" ht="14.25" hidden="1" customHeight="1">
      <c r="AD18" s="531"/>
      <c r="AE18" s="531"/>
      <c r="AF18" s="531"/>
      <c r="AG18" s="510" t="str">
        <f>AH17&amp;"-"&amp;AJ17</f>
        <v>-</v>
      </c>
      <c r="AH18" s="534"/>
      <c r="AI18" s="534"/>
      <c r="AJ18" s="534"/>
      <c r="AK18" s="534"/>
    </row>
    <row r="19" ht="14.25" hidden="1" customHeight="1">
      <c r="AK19" s="50"/>
    </row>
    <row r="20" s="53" customFormat="1" ht="22.5" hidden="1" customHeight="1">
      <c r="L20" s="113"/>
      <c r="M20" s="61"/>
      <c r="N20" s="61"/>
      <c r="O20" s="535" t="s">
        <v>407</v>
      </c>
      <c r="P20" s="61"/>
      <c r="Q20" s="536"/>
      <c r="R20" s="536"/>
      <c r="S20" s="481"/>
      <c r="Z20" s="535"/>
      <c r="AB20" s="535"/>
      <c r="AC20" s="53"/>
      <c r="AH20" s="535"/>
      <c r="AJ20" s="535"/>
      <c r="AK20" s="53"/>
      <c r="AN20" s="57"/>
      <c r="AO20" s="57"/>
      <c r="AP20" s="57"/>
      <c r="AQ20" s="57"/>
      <c r="AR20" s="57"/>
    </row>
    <row r="21" s="53" customFormat="1" ht="14.25" hidden="1" customHeight="1">
      <c r="L21" s="113"/>
      <c r="M21" s="61"/>
      <c r="N21" s="61"/>
      <c r="O21" s="61"/>
      <c r="P21" s="61"/>
      <c r="Q21" s="536"/>
      <c r="R21" s="536"/>
      <c r="S21" s="481"/>
      <c r="AC21" s="53"/>
      <c r="AK21" s="53"/>
      <c r="AN21" s="57"/>
      <c r="AO21" s="57"/>
      <c r="AP21" s="57"/>
      <c r="AQ21" s="57"/>
      <c r="AR21" s="57"/>
    </row>
    <row r="22" s="53" customFormat="1" ht="14.25" hidden="1" customHeight="1">
      <c r="L22" s="113"/>
      <c r="M22" s="61"/>
      <c r="N22" s="61"/>
      <c r="O22" s="480" t="s">
        <v>408</v>
      </c>
      <c r="P22" s="61"/>
      <c r="Q22" s="536"/>
      <c r="R22" s="536"/>
      <c r="S22" s="481"/>
      <c r="T22" s="53" t="s">
        <v>409</v>
      </c>
      <c r="AA22" s="150" t="s">
        <v>410</v>
      </c>
      <c r="AC22" s="150" t="s">
        <v>411</v>
      </c>
      <c r="AD22" s="53" t="s">
        <v>409</v>
      </c>
      <c r="AI22" s="150" t="s">
        <v>412</v>
      </c>
      <c r="AK22" s="150" t="s">
        <v>411</v>
      </c>
      <c r="AN22" s="57"/>
      <c r="AO22" s="57"/>
      <c r="AP22" s="57"/>
      <c r="AQ22" s="57"/>
      <c r="AR22" s="57"/>
    </row>
    <row r="23" ht="14.25" hidden="1" customHeight="1">
      <c r="O23" s="480"/>
    </row>
    <row r="24" ht="14.25" hidden="1" customHeight="1">
      <c r="O24" s="480"/>
    </row>
    <row r="25" ht="14.25" customHeight="1">
      <c r="Q25" s="537"/>
      <c r="R25" s="537"/>
      <c r="S25" s="538"/>
      <c r="T25" s="89"/>
      <c r="U25" s="89"/>
      <c r="V25" s="50"/>
      <c r="W25" s="50"/>
      <c r="X25" s="50"/>
      <c r="Y25" s="50"/>
      <c r="Z25" s="50"/>
      <c r="AA25" s="50"/>
      <c r="AB25" s="50"/>
      <c r="AC25" s="50"/>
      <c r="AD25" s="50"/>
      <c r="AE25" s="50"/>
      <c r="AF25" s="50"/>
      <c r="AG25" s="50"/>
      <c r="AH25" s="50"/>
      <c r="AI25" s="50"/>
      <c r="AJ25" s="50"/>
      <c r="AK25" s="50"/>
    </row>
    <row r="26" ht="51.75" customHeight="1">
      <c r="Q26" s="537"/>
      <c r="R26" s="537"/>
      <c r="S26" s="297"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7"/>
      <c r="U26" s="297"/>
      <c r="V26" s="297"/>
      <c r="W26" s="297"/>
      <c r="X26" s="297"/>
      <c r="Y26" s="297"/>
      <c r="Z26" s="297"/>
      <c r="AA26" s="297"/>
      <c r="AB26" s="297"/>
      <c r="AC26" s="297"/>
      <c r="AD26" s="297"/>
      <c r="AE26" s="297"/>
      <c r="AF26" s="297"/>
      <c r="AG26" s="297"/>
      <c r="AH26" s="297"/>
      <c r="AI26" s="297"/>
      <c r="AJ26" s="297"/>
      <c r="AK26" s="241"/>
    </row>
    <row r="27" ht="14.25" customHeight="1">
      <c r="Q27" s="537"/>
      <c r="R27" s="537"/>
      <c r="S27" s="302" t="str">
        <f>IF(org=0,"Не определено",org)</f>
        <v xml:space="preserve">филиал ПАО "ОГК-2" - Адлерская ТЭС</v>
      </c>
      <c r="T27" s="302"/>
      <c r="U27" s="302"/>
      <c r="V27" s="302"/>
      <c r="W27" s="302"/>
      <c r="X27" s="302"/>
      <c r="Y27" s="302"/>
      <c r="Z27" s="302"/>
      <c r="AA27" s="302"/>
      <c r="AB27" s="302"/>
      <c r="AC27" s="302"/>
      <c r="AD27" s="302"/>
      <c r="AE27" s="302"/>
      <c r="AF27" s="302"/>
      <c r="AG27" s="302"/>
      <c r="AH27" s="302"/>
      <c r="AI27" s="302"/>
      <c r="AJ27" s="302"/>
      <c r="AK27" s="241"/>
    </row>
    <row r="28" ht="14.25" hidden="1" customHeight="1">
      <c r="Q28" s="537"/>
      <c r="R28" s="537"/>
      <c r="S28" s="538"/>
      <c r="T28" s="89"/>
      <c r="U28" s="89"/>
      <c r="V28" s="539"/>
      <c r="W28" s="539"/>
      <c r="X28" s="539"/>
      <c r="Y28" s="539"/>
      <c r="Z28" s="539"/>
      <c r="AA28" s="539"/>
      <c r="AB28" s="539"/>
      <c r="AC28" s="539"/>
      <c r="AD28" s="539"/>
      <c r="AE28" s="539"/>
      <c r="AF28" s="539"/>
      <c r="AG28" s="539"/>
      <c r="AH28" s="539"/>
      <c r="AI28" s="539"/>
      <c r="AJ28" s="539"/>
      <c r="AK28" s="539"/>
      <c r="AL28" s="50"/>
    </row>
    <row r="29" s="185" customFormat="1" ht="25.5" hidden="1" customHeight="1">
      <c r="A29" s="150"/>
      <c r="B29" s="150"/>
      <c r="C29" s="150"/>
      <c r="D29" s="150"/>
      <c r="E29" s="150"/>
      <c r="F29" s="150"/>
      <c r="G29" s="150"/>
      <c r="H29" s="150"/>
      <c r="I29" s="150"/>
      <c r="J29" s="150"/>
      <c r="K29" s="150"/>
      <c r="L29" s="480"/>
      <c r="M29" s="150"/>
      <c r="N29" s="150"/>
      <c r="O29" s="150"/>
      <c r="S29" s="540" t="s">
        <v>38</v>
      </c>
      <c r="T29" s="540"/>
      <c r="U29" s="541"/>
      <c r="V29" s="542" t="str">
        <f>IF(TITLE_NAME_OR_PR_CHANGE="",IF(TITLE_NAME_OR_PR="","",TITLE_NAME_OR_PR),TITLE_NAME_OR_PR_CHANGE)</f>
        <v/>
      </c>
      <c r="W29" s="542"/>
      <c r="X29" s="542"/>
      <c r="Y29" s="542"/>
      <c r="Z29" s="542"/>
      <c r="AA29" s="542"/>
      <c r="AB29" s="542"/>
      <c r="AC29" s="50"/>
      <c r="AD29" s="542" t="str">
        <f>IF(TITLE_NAME_OR_PR_CHANGE="",IF(TITLE_NAME_OR_PR="","",TITLE_NAME_OR_PR),TITLE_NAME_OR_PR_CHANGE)</f>
        <v/>
      </c>
      <c r="AE29" s="542"/>
      <c r="AF29" s="542"/>
      <c r="AG29" s="542"/>
      <c r="AH29" s="542"/>
      <c r="AI29" s="542"/>
      <c r="AJ29" s="542"/>
      <c r="AK29" s="50"/>
      <c r="AL29" s="50"/>
      <c r="AM29" s="543"/>
      <c r="AN29" s="128"/>
      <c r="AO29" s="128"/>
      <c r="AP29" s="128"/>
      <c r="AQ29" s="128"/>
      <c r="AR29" s="128"/>
    </row>
    <row r="30" s="185" customFormat="1" ht="18.75" hidden="1" customHeight="1">
      <c r="A30" s="150"/>
      <c r="B30" s="150"/>
      <c r="C30" s="150"/>
      <c r="D30" s="150"/>
      <c r="E30" s="150"/>
      <c r="F30" s="150"/>
      <c r="G30" s="150"/>
      <c r="H30" s="150"/>
      <c r="I30" s="150"/>
      <c r="J30" s="150"/>
      <c r="K30" s="150"/>
      <c r="L30" s="480"/>
      <c r="M30" s="150"/>
      <c r="N30" s="150"/>
      <c r="O30" s="150"/>
      <c r="S30" s="540" t="s">
        <v>413</v>
      </c>
      <c r="T30" s="540"/>
      <c r="U30" s="541"/>
      <c r="V30" s="544" t="str">
        <f>IF(TITLE_DATE_PR_CHANGE="",IF(TITLE_DATE_PR="","",TITLE_DATE_PR),TITLE_DATE_PR_CHANGE)</f>
        <v/>
      </c>
      <c r="W30" s="544"/>
      <c r="X30" s="544"/>
      <c r="Y30" s="544"/>
      <c r="Z30" s="544"/>
      <c r="AA30" s="544"/>
      <c r="AB30" s="544"/>
      <c r="AC30" s="50"/>
      <c r="AD30" s="544" t="str">
        <f>IF(TITLE_DATE_PR_CHANGE="",IF(TITLE_DATE_PR="","",TITLE_DATE_PR),TITLE_DATE_PR_CHANGE)</f>
        <v/>
      </c>
      <c r="AE30" s="544"/>
      <c r="AF30" s="544"/>
      <c r="AG30" s="544"/>
      <c r="AH30" s="544"/>
      <c r="AI30" s="544"/>
      <c r="AJ30" s="544"/>
      <c r="AK30" s="50"/>
      <c r="AL30" s="50"/>
      <c r="AM30" s="543"/>
      <c r="AN30" s="128"/>
      <c r="AO30" s="128"/>
      <c r="AP30" s="128"/>
      <c r="AQ30" s="128"/>
      <c r="AR30" s="128"/>
    </row>
    <row r="31" s="185" customFormat="1" ht="18.75" hidden="1" customHeight="1">
      <c r="A31" s="150"/>
      <c r="B31" s="150"/>
      <c r="C31" s="150"/>
      <c r="D31" s="150"/>
      <c r="E31" s="150"/>
      <c r="F31" s="150"/>
      <c r="G31" s="150"/>
      <c r="H31" s="150"/>
      <c r="I31" s="150"/>
      <c r="J31" s="150"/>
      <c r="K31" s="150"/>
      <c r="L31" s="480"/>
      <c r="M31" s="150"/>
      <c r="N31" s="150"/>
      <c r="O31" s="150"/>
      <c r="S31" s="540" t="s">
        <v>414</v>
      </c>
      <c r="T31" s="540"/>
      <c r="U31" s="541"/>
      <c r="V31" s="542" t="str">
        <f>IF(TITLE_NUMBER_PR_CHANGE="",IF(TITLE_NUMBER_PR="","",TITLE_NUMBER_PR),TITLE_NUMBER_PR_CHANGE)</f>
        <v/>
      </c>
      <c r="W31" s="542"/>
      <c r="X31" s="542"/>
      <c r="Y31" s="542"/>
      <c r="Z31" s="542"/>
      <c r="AA31" s="542"/>
      <c r="AB31" s="542"/>
      <c r="AC31" s="50"/>
      <c r="AD31" s="542" t="str">
        <f>IF(TITLE_NUMBER_PR_CHANGE="",IF(TITLE_NUMBER_PR="","",TITLE_NUMBER_PR),TITLE_NUMBER_PR_CHANGE)</f>
        <v/>
      </c>
      <c r="AE31" s="542"/>
      <c r="AF31" s="542"/>
      <c r="AG31" s="542"/>
      <c r="AH31" s="542"/>
      <c r="AI31" s="542"/>
      <c r="AJ31" s="542"/>
      <c r="AK31" s="50"/>
      <c r="AL31" s="50"/>
      <c r="AM31" s="543"/>
      <c r="AN31" s="128"/>
      <c r="AO31" s="128"/>
      <c r="AP31" s="128"/>
      <c r="AQ31" s="128"/>
      <c r="AR31" s="128"/>
    </row>
    <row r="32" s="185" customFormat="1" ht="18.75" hidden="1" customHeight="1">
      <c r="A32" s="150"/>
      <c r="B32" s="150"/>
      <c r="C32" s="150"/>
      <c r="D32" s="150"/>
      <c r="E32" s="150"/>
      <c r="F32" s="150"/>
      <c r="G32" s="150"/>
      <c r="H32" s="150"/>
      <c r="I32" s="150"/>
      <c r="J32" s="150"/>
      <c r="K32" s="150"/>
      <c r="L32" s="480"/>
      <c r="M32" s="150"/>
      <c r="N32" s="150"/>
      <c r="O32" s="150"/>
      <c r="S32" s="540" t="s">
        <v>39</v>
      </c>
      <c r="T32" s="540"/>
      <c r="U32" s="541"/>
      <c r="V32" s="542" t="str">
        <f>IF(TITLE_IST_PUB_CHANGE="",IF(TITLE_IST_PUB="","",TITLE_IST_PUB),TITLE_IST_PUB_CHANGE)</f>
        <v/>
      </c>
      <c r="W32" s="542"/>
      <c r="X32" s="542"/>
      <c r="Y32" s="542"/>
      <c r="Z32" s="542"/>
      <c r="AA32" s="542"/>
      <c r="AB32" s="542"/>
      <c r="AC32" s="50"/>
      <c r="AD32" s="542" t="str">
        <f>IF(TITLE_IST_PUB_CHANGE="",IF(TITLE_IST_PUB="","",TITLE_IST_PUB),TITLE_IST_PUB_CHANGE)</f>
        <v/>
      </c>
      <c r="AE32" s="542"/>
      <c r="AF32" s="542"/>
      <c r="AG32" s="542"/>
      <c r="AH32" s="542"/>
      <c r="AI32" s="542"/>
      <c r="AJ32" s="542"/>
      <c r="AK32" s="50"/>
      <c r="AL32" s="50"/>
      <c r="AM32" s="543"/>
      <c r="AN32" s="128"/>
      <c r="AO32" s="128"/>
      <c r="AP32" s="128"/>
      <c r="AQ32" s="128"/>
      <c r="AR32" s="128"/>
    </row>
    <row r="33" ht="14.25" hidden="1" customHeight="1">
      <c r="Q33" s="537"/>
      <c r="R33" s="537"/>
      <c r="S33" s="538"/>
      <c r="T33" s="89"/>
      <c r="U33" s="89"/>
      <c r="V33" s="539"/>
      <c r="W33" s="539"/>
      <c r="X33" s="539"/>
      <c r="Y33" s="539"/>
      <c r="Z33" s="539"/>
      <c r="AA33" s="539"/>
      <c r="AB33" s="539"/>
      <c r="AC33" s="539"/>
      <c r="AD33" s="539"/>
      <c r="AE33" s="539"/>
      <c r="AF33" s="539"/>
      <c r="AG33" s="539"/>
      <c r="AH33" s="539"/>
      <c r="AI33" s="539"/>
      <c r="AJ33" s="539"/>
      <c r="AK33" s="539"/>
      <c r="AL33" s="50"/>
    </row>
    <row r="34" s="185" customFormat="1" ht="18.75" hidden="1" customHeight="1">
      <c r="A34" s="150"/>
      <c r="B34" s="150"/>
      <c r="C34" s="150"/>
      <c r="D34" s="150"/>
      <c r="E34" s="150"/>
      <c r="F34" s="150"/>
      <c r="G34" s="150"/>
      <c r="H34" s="150"/>
      <c r="I34" s="150"/>
      <c r="J34" s="150"/>
      <c r="K34" s="150"/>
      <c r="L34" s="480"/>
      <c r="M34" s="150"/>
      <c r="N34" s="150"/>
      <c r="O34" s="150"/>
      <c r="S34" s="540" t="s">
        <v>415</v>
      </c>
      <c r="T34" s="540"/>
      <c r="U34" s="541"/>
      <c r="V34" s="544" t="str">
        <f>IF(TITLE_DATE_PR_CHANGE="",IF(TITLE_DATE_PR="","",TITLE_DATE_PR),TITLE_DATE_PR_CHANGE)</f>
        <v/>
      </c>
      <c r="W34" s="544"/>
      <c r="X34" s="544"/>
      <c r="Y34" s="544"/>
      <c r="Z34" s="544"/>
      <c r="AA34" s="544"/>
      <c r="AB34" s="544"/>
      <c r="AC34" s="50"/>
      <c r="AD34" s="544" t="str">
        <f>IF(TITLE_DATE_PR_CHANGE="",IF(TITLE_DATE_PR="","",TITLE_DATE_PR),TITLE_DATE_PR_CHANGE)</f>
        <v/>
      </c>
      <c r="AE34" s="544"/>
      <c r="AF34" s="544"/>
      <c r="AG34" s="544"/>
      <c r="AH34" s="544"/>
      <c r="AI34" s="544"/>
      <c r="AJ34" s="544"/>
      <c r="AK34" s="50"/>
      <c r="AL34" s="50"/>
      <c r="AM34" s="543"/>
      <c r="AN34" s="128"/>
      <c r="AO34" s="128"/>
      <c r="AP34" s="128"/>
      <c r="AQ34" s="128"/>
      <c r="AR34" s="128"/>
    </row>
    <row r="35" s="185" customFormat="1" ht="18.75" hidden="1" customHeight="1">
      <c r="A35" s="150"/>
      <c r="B35" s="150"/>
      <c r="C35" s="150"/>
      <c r="D35" s="150"/>
      <c r="E35" s="150"/>
      <c r="F35" s="150"/>
      <c r="G35" s="150"/>
      <c r="H35" s="150"/>
      <c r="I35" s="150"/>
      <c r="J35" s="150"/>
      <c r="K35" s="150"/>
      <c r="L35" s="480"/>
      <c r="M35" s="150"/>
      <c r="N35" s="150"/>
      <c r="O35" s="150"/>
      <c r="S35" s="540" t="s">
        <v>416</v>
      </c>
      <c r="T35" s="540"/>
      <c r="U35" s="541"/>
      <c r="V35" s="542" t="str">
        <f>IF(TITLE_NUMBER_PR_CHANGE="",IF(TITLE_NUMBER_PR="","",TITLE_NUMBER_PR),TITLE_NUMBER_PR_CHANGE)</f>
        <v/>
      </c>
      <c r="W35" s="542"/>
      <c r="X35" s="542"/>
      <c r="Y35" s="542"/>
      <c r="Z35" s="542"/>
      <c r="AA35" s="542"/>
      <c r="AB35" s="542"/>
      <c r="AC35" s="50"/>
      <c r="AD35" s="542" t="str">
        <f>IF(TITLE_NUMBER_PR_CHANGE="",IF(TITLE_NUMBER_PR="","",TITLE_NUMBER_PR),TITLE_NUMBER_PR_CHANGE)</f>
        <v/>
      </c>
      <c r="AE35" s="542"/>
      <c r="AF35" s="542"/>
      <c r="AG35" s="542"/>
      <c r="AH35" s="542"/>
      <c r="AI35" s="542"/>
      <c r="AJ35" s="542"/>
      <c r="AK35" s="50"/>
      <c r="AL35" s="50"/>
      <c r="AM35" s="543"/>
      <c r="AN35" s="128"/>
      <c r="AO35" s="128"/>
      <c r="AP35" s="128"/>
      <c r="AQ35" s="128"/>
      <c r="AR35" s="128"/>
    </row>
    <row r="36" s="185" customFormat="1" ht="0" customHeight="1">
      <c r="A36" s="150"/>
      <c r="B36" s="150"/>
      <c r="C36" s="150"/>
      <c r="D36" s="150"/>
      <c r="E36" s="150"/>
      <c r="F36" s="150"/>
      <c r="G36" s="150"/>
      <c r="H36" s="150"/>
      <c r="I36" s="150"/>
      <c r="J36" s="150"/>
      <c r="K36" s="150"/>
      <c r="L36" s="480"/>
      <c r="M36" s="150"/>
      <c r="N36" s="150"/>
      <c r="O36" s="150"/>
      <c r="S36" s="50"/>
      <c r="T36" s="50"/>
      <c r="U36" s="139"/>
      <c r="V36" s="50"/>
      <c r="W36" s="50"/>
      <c r="X36" s="50"/>
      <c r="Y36" s="50"/>
      <c r="Z36" s="50"/>
      <c r="AA36" s="50"/>
      <c r="AB36" s="50"/>
      <c r="AC36" s="57" t="s">
        <v>417</v>
      </c>
      <c r="AD36" s="50"/>
      <c r="AE36" s="50"/>
      <c r="AF36" s="50"/>
      <c r="AG36" s="50"/>
      <c r="AH36" s="50"/>
      <c r="AI36" s="50"/>
      <c r="AJ36" s="50"/>
      <c r="AK36" s="57" t="s">
        <v>417</v>
      </c>
      <c r="AN36" s="128"/>
      <c r="AO36" s="128"/>
      <c r="AP36" s="128"/>
      <c r="AQ36" s="128"/>
      <c r="AR36" s="128"/>
    </row>
    <row r="37" ht="14.25" customHeight="1">
      <c r="Q37" s="537"/>
      <c r="R37" s="537"/>
      <c r="S37" s="538"/>
      <c r="T37" s="89"/>
      <c r="U37" s="545"/>
      <c r="V37" s="546"/>
      <c r="W37" s="546"/>
      <c r="X37" s="546"/>
      <c r="Y37" s="546"/>
      <c r="Z37" s="546"/>
      <c r="AA37" s="546"/>
      <c r="AB37" s="546"/>
      <c r="AC37" s="546"/>
      <c r="AD37" s="546"/>
      <c r="AE37" s="546"/>
      <c r="AF37" s="546"/>
      <c r="AG37" s="546"/>
      <c r="AH37" s="546"/>
      <c r="AI37" s="546"/>
      <c r="AJ37" s="546"/>
      <c r="AK37" s="546"/>
    </row>
    <row r="38" ht="14.25" customHeight="1">
      <c r="Q38" s="537"/>
      <c r="R38" s="537"/>
      <c r="S38" s="156" t="s">
        <v>288</v>
      </c>
      <c r="T38" s="156"/>
      <c r="U38" s="156"/>
      <c r="V38" s="156"/>
      <c r="W38" s="156"/>
      <c r="X38" s="156"/>
      <c r="Y38" s="156"/>
      <c r="Z38" s="156"/>
      <c r="AA38" s="156"/>
      <c r="AB38" s="156"/>
      <c r="AC38" s="156"/>
      <c r="AD38" s="156"/>
      <c r="AE38" s="156"/>
      <c r="AF38" s="156"/>
      <c r="AG38" s="156"/>
      <c r="AH38" s="156"/>
      <c r="AI38" s="156"/>
      <c r="AJ38" s="156"/>
      <c r="AK38" s="156"/>
      <c r="AL38" s="156"/>
      <c r="AM38" s="156" t="s">
        <v>289</v>
      </c>
    </row>
    <row r="39" ht="14.25" customHeight="1">
      <c r="Q39" s="537"/>
      <c r="R39" s="537"/>
      <c r="S39" s="483" t="s">
        <v>85</v>
      </c>
      <c r="T39" s="347" t="s">
        <v>418</v>
      </c>
      <c r="U39" s="547"/>
      <c r="V39" s="548" t="s">
        <v>419</v>
      </c>
      <c r="W39" s="549"/>
      <c r="X39" s="549"/>
      <c r="Y39" s="549"/>
      <c r="Z39" s="549"/>
      <c r="AA39" s="549"/>
      <c r="AB39" s="550"/>
      <c r="AC39" s="551" t="s">
        <v>420</v>
      </c>
      <c r="AD39" s="548" t="s">
        <v>419</v>
      </c>
      <c r="AE39" s="549"/>
      <c r="AF39" s="549"/>
      <c r="AG39" s="549"/>
      <c r="AH39" s="549"/>
      <c r="AI39" s="549"/>
      <c r="AJ39" s="550"/>
      <c r="AK39" s="551" t="s">
        <v>421</v>
      </c>
      <c r="AL39" s="552" t="s">
        <v>422</v>
      </c>
      <c r="AM39" s="156"/>
    </row>
    <row r="40" ht="33.75" customHeight="1">
      <c r="Q40" s="537"/>
      <c r="R40" s="537"/>
      <c r="S40" s="483"/>
      <c r="T40" s="347"/>
      <c r="U40" s="553"/>
      <c r="V40" s="306" t="s">
        <v>423</v>
      </c>
      <c r="W40" s="554"/>
      <c r="X40" s="73" t="s">
        <v>425</v>
      </c>
      <c r="Y40" s="72"/>
      <c r="Z40" s="73" t="s">
        <v>426</v>
      </c>
      <c r="AA40" s="144"/>
      <c r="AB40" s="72"/>
      <c r="AC40" s="555"/>
      <c r="AD40" s="306" t="s">
        <v>423</v>
      </c>
      <c r="AE40" s="554"/>
      <c r="AF40" s="73" t="s">
        <v>425</v>
      </c>
      <c r="AG40" s="72"/>
      <c r="AH40" s="73" t="s">
        <v>426</v>
      </c>
      <c r="AI40" s="144"/>
      <c r="AJ40" s="72"/>
      <c r="AK40" s="555"/>
      <c r="AL40" s="556"/>
      <c r="AM40" s="156"/>
    </row>
    <row r="41" ht="33.75" customHeight="1">
      <c r="A41" s="150"/>
      <c r="B41" s="150" t="s">
        <v>137</v>
      </c>
      <c r="C41" s="150" t="s">
        <v>138</v>
      </c>
      <c r="D41" s="150" t="s">
        <v>139</v>
      </c>
      <c r="E41" s="480" t="s">
        <v>427</v>
      </c>
      <c r="F41" s="480" t="s">
        <v>428</v>
      </c>
      <c r="G41" s="480" t="s">
        <v>429</v>
      </c>
      <c r="H41" s="480" t="s">
        <v>430</v>
      </c>
      <c r="I41" s="480" t="s">
        <v>431</v>
      </c>
      <c r="J41" s="480" t="s">
        <v>432</v>
      </c>
      <c r="K41" s="480" t="s">
        <v>433</v>
      </c>
      <c r="L41" s="480" t="s">
        <v>408</v>
      </c>
      <c r="Q41" s="537"/>
      <c r="R41" s="537"/>
      <c r="S41" s="483"/>
      <c r="T41" s="347"/>
      <c r="U41" s="557"/>
      <c r="V41" s="161"/>
      <c r="W41" s="558"/>
      <c r="X41" s="247" t="s">
        <v>434</v>
      </c>
      <c r="Y41" s="247" t="s">
        <v>435</v>
      </c>
      <c r="Z41" s="247" t="s">
        <v>436</v>
      </c>
      <c r="AA41" s="414" t="s">
        <v>437</v>
      </c>
      <c r="AB41" s="416"/>
      <c r="AC41" s="559"/>
      <c r="AD41" s="161"/>
      <c r="AE41" s="558"/>
      <c r="AF41" s="247" t="s">
        <v>434</v>
      </c>
      <c r="AG41" s="247" t="s">
        <v>435</v>
      </c>
      <c r="AH41" s="247" t="s">
        <v>436</v>
      </c>
      <c r="AI41" s="414" t="s">
        <v>437</v>
      </c>
      <c r="AJ41" s="416"/>
      <c r="AK41" s="559"/>
      <c r="AL41" s="560"/>
      <c r="AM41" s="156"/>
    </row>
    <row r="42" s="130" customFormat="1" ht="11.25" hidden="1" customHeight="1">
      <c r="A42" s="150"/>
      <c r="B42" s="150"/>
      <c r="C42" s="150"/>
      <c r="D42" s="150"/>
      <c r="E42" s="150"/>
      <c r="F42" s="150"/>
      <c r="G42" s="150"/>
      <c r="H42" s="150"/>
      <c r="I42" s="150"/>
      <c r="J42" s="150"/>
      <c r="K42" s="150"/>
      <c r="L42" s="480"/>
      <c r="M42" s="61"/>
      <c r="N42" s="61"/>
      <c r="O42" s="61"/>
      <c r="P42" s="561"/>
      <c r="Q42" s="562"/>
      <c r="R42" s="563">
        <v>1</v>
      </c>
      <c r="S42" s="564" t="s">
        <v>111</v>
      </c>
      <c r="T42" s="565" t="s">
        <v>99</v>
      </c>
      <c r="U42" s="566" t="str">
        <f ca="1">OFFSET(U42,0,-1)</f>
        <v>2</v>
      </c>
      <c r="V42" s="567">
        <f ca="1">OFFSET(V42,0,-1)+1</f>
        <v>3</v>
      </c>
      <c r="W42" s="567"/>
      <c r="X42" s="567">
        <f ca="1">OFFSET(X42,0,-1)+1</f>
        <v>1</v>
      </c>
      <c r="Y42" s="567">
        <f ca="1">OFFSET(Y42,0,-1)+1</f>
        <v>2</v>
      </c>
      <c r="Z42" s="567">
        <f ca="1">OFFSET(Z42,0,-1)+1</f>
        <v>3</v>
      </c>
      <c r="AA42" s="567">
        <f ca="1">OFFSET(AA42,0,-1)+1</f>
        <v>4</v>
      </c>
      <c r="AB42" s="567"/>
      <c r="AC42" s="567">
        <f ca="1">OFFSET(AC42,0,-2)+1</f>
        <v>5</v>
      </c>
      <c r="AD42" s="567">
        <f ca="1">OFFSET(AD42,0,-1)+1</f>
        <v>6</v>
      </c>
      <c r="AE42" s="567"/>
      <c r="AF42" s="567">
        <f ca="1">OFFSET(AF42,0,-1)+1</f>
        <v>1</v>
      </c>
      <c r="AG42" s="567">
        <f ca="1">OFFSET(AG42,0,-1)+1</f>
        <v>2</v>
      </c>
      <c r="AH42" s="567">
        <f ca="1">OFFSET(AH42,0,-1)+1</f>
        <v>3</v>
      </c>
      <c r="AI42" s="567">
        <f ca="1">OFFSET(AI42,0,-1)+1</f>
        <v>4</v>
      </c>
      <c r="AJ42" s="567"/>
      <c r="AK42" s="567">
        <f ca="1">OFFSET(AK42,0,-2)+1</f>
        <v>5</v>
      </c>
      <c r="AL42" s="566">
        <f ca="1">OFFSET(AL42,0,-1)</f>
        <v>5</v>
      </c>
      <c r="AM42" s="567">
        <f ca="1">OFFSET(AM42,0,-1)+1</f>
        <v>6</v>
      </c>
      <c r="AN42" s="57"/>
      <c r="AO42" s="57"/>
      <c r="AP42" s="57"/>
      <c r="AQ42" s="57"/>
      <c r="AR42" s="57"/>
    </row>
    <row r="43" ht="21" customHeight="1">
      <c r="A43" s="478" t="s">
        <v>182</v>
      </c>
      <c r="B43" s="478"/>
      <c r="C43" s="478"/>
      <c r="D43" s="478"/>
      <c r="E43" s="479">
        <v>1</v>
      </c>
      <c r="F43" s="478"/>
      <c r="G43" s="478"/>
      <c r="H43" s="478"/>
      <c r="I43" s="478"/>
      <c r="J43" s="478"/>
      <c r="K43" s="478"/>
      <c r="L43" s="480"/>
      <c r="M43" s="481"/>
      <c r="N43" s="481"/>
      <c r="O43" s="481"/>
      <c r="P43" s="60"/>
      <c r="Q43" s="142"/>
      <c r="R43" s="482"/>
      <c r="S43" s="483">
        <f>INDEX(PT_DIFFERENTIATION_NUM_NTAR,MATCH(A43,PT_DIFFERENTIATION_NTAR_ID,0))</f>
        <v>0</v>
      </c>
      <c r="T43" s="484" t="s">
        <v>125</v>
      </c>
      <c r="U43" s="485"/>
      <c r="V43" s="486"/>
      <c r="W43" s="487"/>
      <c r="X43" s="487"/>
      <c r="Y43" s="487"/>
      <c r="Z43" s="487"/>
      <c r="AA43" s="487"/>
      <c r="AB43" s="487"/>
      <c r="AC43" s="488"/>
      <c r="AD43" s="486" t="str">
        <f>INDEX(PT_DIFFERENTIATION_NTAR,MATCH(A43,PT_DIFFERENTIATION_NTAR_ID,0))</f>
        <v/>
      </c>
      <c r="AE43" s="487"/>
      <c r="AF43" s="487"/>
      <c r="AG43" s="487"/>
      <c r="AH43" s="487"/>
      <c r="AI43" s="487"/>
      <c r="AJ43" s="487"/>
      <c r="AK43" s="487"/>
      <c r="AL43" s="488"/>
      <c r="AM43" s="4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8"/>
      <c r="AP43" s="128" t="str">
        <f t="shared" si="12"/>
        <v xml:space="preserve">Наименование тарифа</v>
      </c>
      <c r="AQ43" s="128"/>
      <c r="AR43" s="128"/>
    </row>
    <row r="44" ht="21" customHeight="1">
      <c r="A44" s="478" t="s">
        <v>182</v>
      </c>
      <c r="B44" s="478" t="s">
        <v>183</v>
      </c>
      <c r="C44" s="478"/>
      <c r="D44" s="478"/>
      <c r="E44" s="490"/>
      <c r="F44" s="479">
        <v>1</v>
      </c>
      <c r="G44" s="478"/>
      <c r="H44" s="478"/>
      <c r="I44" s="478"/>
      <c r="J44" s="478"/>
      <c r="K44" s="478"/>
      <c r="L44" s="480"/>
      <c r="M44" s="481"/>
      <c r="N44" s="481"/>
      <c r="O44" s="481"/>
      <c r="P44" s="51"/>
      <c r="Q44" s="491"/>
      <c r="R44" s="492"/>
      <c r="S44" s="483" t="str">
        <f>INDEX(PT_DIFFERENTIATION_NUM_TER,MATCH(B44,PT_DIFFERENTIATION_TER_ID,0))</f>
        <v>.</v>
      </c>
      <c r="T44" s="493" t="s">
        <v>387</v>
      </c>
      <c r="U44" s="485"/>
      <c r="V44" s="486"/>
      <c r="W44" s="487"/>
      <c r="X44" s="487"/>
      <c r="Y44" s="487"/>
      <c r="Z44" s="487"/>
      <c r="AA44" s="487"/>
      <c r="AB44" s="487"/>
      <c r="AC44" s="488"/>
      <c r="AD44" s="486" t="str">
        <f>INDEX(PT_DIFFERENTIATION_TER,MATCH(B44,PT_DIFFERENTIATION_TER_ID,0))</f>
        <v/>
      </c>
      <c r="AE44" s="487"/>
      <c r="AF44" s="487"/>
      <c r="AG44" s="487"/>
      <c r="AH44" s="487"/>
      <c r="AI44" s="487"/>
      <c r="AJ44" s="487"/>
      <c r="AK44" s="487"/>
      <c r="AL44" s="488"/>
      <c r="AM44" s="489" t="s">
        <v>388</v>
      </c>
      <c r="AO44" s="128"/>
      <c r="AP44" s="128" t="str">
        <f t="shared" si="12"/>
        <v xml:space="preserve">Территория действия тарифа</v>
      </c>
      <c r="AQ44" s="128"/>
      <c r="AR44" s="128"/>
    </row>
    <row r="45" ht="23.25" customHeight="1">
      <c r="A45" s="478" t="s">
        <v>182</v>
      </c>
      <c r="B45" s="478" t="s">
        <v>183</v>
      </c>
      <c r="C45" s="478" t="s">
        <v>184</v>
      </c>
      <c r="D45" s="478"/>
      <c r="E45" s="490"/>
      <c r="F45" s="490"/>
      <c r="G45" s="479">
        <v>1</v>
      </c>
      <c r="H45" s="478"/>
      <c r="I45" s="478"/>
      <c r="J45" s="478"/>
      <c r="K45" s="478"/>
      <c r="L45" s="480"/>
      <c r="M45" s="481"/>
      <c r="N45" s="481"/>
      <c r="O45" s="481"/>
      <c r="P45" s="494"/>
      <c r="Q45" s="491"/>
      <c r="R45" s="492"/>
      <c r="S45" s="483" t="str">
        <f>INDEX(PT_DIFFERENTIATION_NUM_CS,MATCH(C45,PT_DIFFERENTIATION_CS_ID,0))</f>
        <v>..</v>
      </c>
      <c r="T45" s="495" t="s">
        <v>389</v>
      </c>
      <c r="U45" s="485"/>
      <c r="V45" s="486"/>
      <c r="W45" s="487"/>
      <c r="X45" s="487"/>
      <c r="Y45" s="487"/>
      <c r="Z45" s="487"/>
      <c r="AA45" s="487"/>
      <c r="AB45" s="487"/>
      <c r="AC45" s="488"/>
      <c r="AD45" s="486" t="str">
        <f>INDEX(PT_DIFFERENTIATION_CS,MATCH(C45,PT_DIFFERENTIATION_CS_ID,0))</f>
        <v/>
      </c>
      <c r="AE45" s="487"/>
      <c r="AF45" s="487"/>
      <c r="AG45" s="487"/>
      <c r="AH45" s="487"/>
      <c r="AI45" s="487"/>
      <c r="AJ45" s="487"/>
      <c r="AK45" s="487"/>
      <c r="AL45" s="488"/>
      <c r="AM45" s="489" t="s">
        <v>390</v>
      </c>
      <c r="AO45" s="128"/>
      <c r="AP45" s="128" t="str">
        <f t="shared" si="12"/>
        <v xml:space="preserve">Наименование системы теплоснабжения</v>
      </c>
      <c r="AQ45" s="128"/>
      <c r="AR45" s="128"/>
    </row>
    <row r="46" ht="21" customHeight="1">
      <c r="A46" s="478" t="s">
        <v>182</v>
      </c>
      <c r="B46" s="478" t="s">
        <v>183</v>
      </c>
      <c r="C46" s="478" t="s">
        <v>184</v>
      </c>
      <c r="D46" s="478" t="s">
        <v>185</v>
      </c>
      <c r="E46" s="490"/>
      <c r="F46" s="490"/>
      <c r="G46" s="490"/>
      <c r="H46" s="479">
        <v>1</v>
      </c>
      <c r="I46" s="478"/>
      <c r="J46" s="478"/>
      <c r="K46" s="478"/>
      <c r="L46" s="480"/>
      <c r="M46" s="481"/>
      <c r="N46" s="481"/>
      <c r="O46" s="481"/>
      <c r="P46" s="494"/>
      <c r="Q46" s="491"/>
      <c r="R46" s="492"/>
      <c r="S46" s="483" t="str">
        <f>INDEX(PT_DIFFERENTIATION_NUM_IST_TE,MATCH(D46,PT_DIFFERENTIATION_IST_TE_ID,0))</f>
        <v>...</v>
      </c>
      <c r="T46" s="496" t="s">
        <v>391</v>
      </c>
      <c r="U46" s="485"/>
      <c r="V46" s="486"/>
      <c r="W46" s="487"/>
      <c r="X46" s="487"/>
      <c r="Y46" s="487"/>
      <c r="Z46" s="487"/>
      <c r="AA46" s="487"/>
      <c r="AB46" s="487"/>
      <c r="AC46" s="488"/>
      <c r="AD46" s="486" t="str">
        <f>INDEX(PT_DIFFERENTIATION_IST_TE,MATCH(D46,PT_DIFFERENTIATION_IST_TE_ID,0))</f>
        <v/>
      </c>
      <c r="AE46" s="487"/>
      <c r="AF46" s="487"/>
      <c r="AG46" s="487"/>
      <c r="AH46" s="487"/>
      <c r="AI46" s="487"/>
      <c r="AJ46" s="487"/>
      <c r="AK46" s="487"/>
      <c r="AL46" s="488"/>
      <c r="AM46" s="489" t="s">
        <v>392</v>
      </c>
      <c r="AO46" s="128"/>
      <c r="AP46" s="128" t="str">
        <f t="shared" si="12"/>
        <v xml:space="preserve">Источник тепловой энергии</v>
      </c>
      <c r="AQ46" s="128"/>
      <c r="AR46" s="128"/>
    </row>
    <row r="47" s="57" customFormat="1" ht="0" customHeight="1">
      <c r="A47" s="132" t="s">
        <v>182</v>
      </c>
      <c r="B47" s="132" t="s">
        <v>183</v>
      </c>
      <c r="C47" s="132" t="s">
        <v>184</v>
      </c>
      <c r="D47" s="132" t="s">
        <v>185</v>
      </c>
      <c r="E47" s="490"/>
      <c r="F47" s="490"/>
      <c r="G47" s="490"/>
      <c r="H47" s="490"/>
      <c r="I47" s="167" t="str">
        <f>S46&amp;".1"</f>
        <v>....1</v>
      </c>
      <c r="J47" s="132"/>
      <c r="K47" s="132"/>
      <c r="L47" s="213" t="s">
        <v>393</v>
      </c>
      <c r="M47" s="586"/>
      <c r="N47" s="586"/>
      <c r="O47" s="586"/>
      <c r="P47" s="131">
        <v>1</v>
      </c>
      <c r="Q47" s="131"/>
      <c r="R47" s="497"/>
      <c r="S47" s="351"/>
      <c r="T47" s="576"/>
      <c r="U47" s="577"/>
      <c r="V47" s="578"/>
      <c r="W47" s="579"/>
      <c r="X47" s="579"/>
      <c r="Y47" s="579"/>
      <c r="Z47" s="579"/>
      <c r="AA47" s="579"/>
      <c r="AB47" s="579"/>
      <c r="AC47" s="580"/>
      <c r="AD47" s="578"/>
      <c r="AE47" s="579"/>
      <c r="AF47" s="579"/>
      <c r="AG47" s="579"/>
      <c r="AH47" s="579"/>
      <c r="AI47" s="579"/>
      <c r="AJ47" s="579"/>
      <c r="AK47" s="579"/>
      <c r="AL47" s="580"/>
      <c r="AM47" s="581"/>
      <c r="AO47" s="128"/>
      <c r="AP47" s="128" t="str">
        <f t="shared" si="12"/>
        <v/>
      </c>
      <c r="AQ47" s="128"/>
      <c r="AR47" s="128"/>
    </row>
    <row r="48" ht="21" customHeight="1">
      <c r="A48" s="478" t="s">
        <v>182</v>
      </c>
      <c r="B48" s="478" t="s">
        <v>183</v>
      </c>
      <c r="C48" s="478" t="s">
        <v>184</v>
      </c>
      <c r="D48" s="478" t="s">
        <v>185</v>
      </c>
      <c r="E48" s="490"/>
      <c r="F48" s="490"/>
      <c r="G48" s="490"/>
      <c r="H48" s="490"/>
      <c r="I48" s="501"/>
      <c r="J48" s="167" t="str">
        <f>S46&amp;".1"</f>
        <v>....1</v>
      </c>
      <c r="K48" s="478"/>
      <c r="L48" s="480" t="s">
        <v>396</v>
      </c>
      <c r="P48" s="131"/>
      <c r="Q48" s="131">
        <v>1</v>
      </c>
      <c r="R48" s="502"/>
      <c r="S48" s="483" t="str">
        <f>$J48</f>
        <v>....1</v>
      </c>
      <c r="T48" s="503" t="s">
        <v>397</v>
      </c>
      <c r="U48" s="485"/>
      <c r="V48" s="430"/>
      <c r="W48" s="499"/>
      <c r="X48" s="499"/>
      <c r="Y48" s="499"/>
      <c r="Z48" s="499"/>
      <c r="AA48" s="499"/>
      <c r="AB48" s="499"/>
      <c r="AC48" s="500"/>
      <c r="AD48" s="430"/>
      <c r="AE48" s="499"/>
      <c r="AF48" s="499"/>
      <c r="AG48" s="499"/>
      <c r="AH48" s="499"/>
      <c r="AI48" s="499"/>
      <c r="AJ48" s="499"/>
      <c r="AK48" s="499"/>
      <c r="AL48" s="500"/>
      <c r="AM48" s="489" t="s">
        <v>398</v>
      </c>
      <c r="AO48" s="128"/>
      <c r="AP48" s="128" t="str">
        <f t="shared" si="12"/>
        <v xml:space="preserve">Группа потребителей</v>
      </c>
      <c r="AQ48" s="128"/>
      <c r="AR48" s="128"/>
    </row>
    <row r="49" ht="21" customHeight="1">
      <c r="A49" s="478" t="s">
        <v>182</v>
      </c>
      <c r="B49" s="478" t="s">
        <v>183</v>
      </c>
      <c r="C49" s="478" t="s">
        <v>184</v>
      </c>
      <c r="D49" s="478" t="s">
        <v>185</v>
      </c>
      <c r="E49" s="490"/>
      <c r="F49" s="490"/>
      <c r="G49" s="490"/>
      <c r="H49" s="490"/>
      <c r="I49" s="501"/>
      <c r="J49" s="501"/>
      <c r="K49" s="167" t="str">
        <f>J48&amp;".1"</f>
        <v>....1.1</v>
      </c>
      <c r="L49" s="480" t="s">
        <v>399</v>
      </c>
      <c r="P49" s="131"/>
      <c r="Q49" s="131"/>
      <c r="R49" s="502">
        <v>1</v>
      </c>
      <c r="S49" s="483" t="str">
        <f>$K49</f>
        <v>....1.1</v>
      </c>
      <c r="T49" s="504"/>
      <c r="U49" s="485"/>
      <c r="V49" s="505"/>
      <c r="W49" s="506"/>
      <c r="X49" s="505"/>
      <c r="Y49" s="507"/>
      <c r="Z49" s="508"/>
      <c r="AA49" s="225" t="s">
        <v>56</v>
      </c>
      <c r="AB49" s="508"/>
      <c r="AC49" s="225" t="s">
        <v>56</v>
      </c>
      <c r="AD49" s="505"/>
      <c r="AE49" s="506"/>
      <c r="AF49" s="505"/>
      <c r="AG49" s="507"/>
      <c r="AH49" s="508"/>
      <c r="AI49" s="225" t="s">
        <v>56</v>
      </c>
      <c r="AJ49" s="568"/>
      <c r="AK49" s="225" t="s">
        <v>56</v>
      </c>
      <c r="AL49" s="569"/>
      <c r="AM49" s="509" t="s">
        <v>440</v>
      </c>
      <c r="AN49" s="57" t="e">
        <f>STRCHECKDATE(V50:AL50)</f>
        <v>#NAME?</v>
      </c>
      <c r="AO49" s="128"/>
      <c r="AP49" s="128" t="str">
        <f t="shared" si="12"/>
        <v/>
      </c>
      <c r="AQ49" s="128"/>
      <c r="AR49" s="128"/>
    </row>
    <row r="50" ht="0.75" customHeight="1">
      <c r="A50" s="478" t="s">
        <v>182</v>
      </c>
      <c r="B50" s="478" t="s">
        <v>183</v>
      </c>
      <c r="C50" s="478" t="s">
        <v>184</v>
      </c>
      <c r="D50" s="478" t="s">
        <v>185</v>
      </c>
      <c r="E50" s="490"/>
      <c r="F50" s="490"/>
      <c r="G50" s="490"/>
      <c r="H50" s="490"/>
      <c r="I50" s="501"/>
      <c r="J50" s="501"/>
      <c r="K50" s="167"/>
      <c r="L50" s="480"/>
      <c r="P50" s="131"/>
      <c r="Q50" s="131"/>
      <c r="R50" s="502"/>
      <c r="S50" s="457"/>
      <c r="T50" s="485"/>
      <c r="U50" s="485"/>
      <c r="V50" s="506"/>
      <c r="W50" s="506"/>
      <c r="X50" s="506"/>
      <c r="Y50" s="510" t="str">
        <f>Z49&amp;"-"&amp;AB49</f>
        <v>-</v>
      </c>
      <c r="Z50" s="511"/>
      <c r="AA50" s="225"/>
      <c r="AB50" s="511"/>
      <c r="AC50" s="225"/>
      <c r="AD50" s="506"/>
      <c r="AE50" s="506"/>
      <c r="AF50" s="506"/>
      <c r="AG50" s="510" t="str">
        <f>AH49&amp;"-"&amp;AJ49</f>
        <v>-</v>
      </c>
      <c r="AH50" s="511"/>
      <c r="AI50" s="225"/>
      <c r="AJ50" s="570"/>
      <c r="AK50" s="225"/>
      <c r="AL50" s="571"/>
      <c r="AM50" s="512"/>
      <c r="AO50" s="128"/>
      <c r="AP50" s="128" t="str">
        <f t="shared" si="12"/>
        <v/>
      </c>
      <c r="AQ50" s="128"/>
      <c r="AR50" s="128"/>
    </row>
    <row r="51" ht="11.25" customHeight="1">
      <c r="A51" s="478" t="s">
        <v>182</v>
      </c>
      <c r="B51" s="478" t="s">
        <v>183</v>
      </c>
      <c r="C51" s="478" t="s">
        <v>184</v>
      </c>
      <c r="D51" s="478" t="s">
        <v>185</v>
      </c>
      <c r="E51" s="490"/>
      <c r="F51" s="490"/>
      <c r="G51" s="490"/>
      <c r="H51" s="490"/>
      <c r="I51" s="501"/>
      <c r="J51" s="167"/>
      <c r="K51" s="478"/>
      <c r="L51" s="480"/>
      <c r="P51" s="131"/>
      <c r="Q51" s="131"/>
      <c r="R51" s="497"/>
      <c r="S51" s="513"/>
      <c r="T51" s="517" t="s">
        <v>401</v>
      </c>
      <c r="U51" s="215"/>
      <c r="V51" s="215"/>
      <c r="W51" s="215"/>
      <c r="X51" s="215"/>
      <c r="Y51" s="215"/>
      <c r="Z51" s="215"/>
      <c r="AA51" s="215"/>
      <c r="AB51" s="215"/>
      <c r="AC51" s="215"/>
      <c r="AD51" s="215"/>
      <c r="AE51" s="215"/>
      <c r="AF51" s="215"/>
      <c r="AG51" s="215"/>
      <c r="AH51" s="215"/>
      <c r="AI51" s="215"/>
      <c r="AJ51" s="215"/>
      <c r="AK51" s="215"/>
      <c r="AL51" s="515"/>
      <c r="AM51" s="516"/>
      <c r="AO51" s="128"/>
      <c r="AP51" s="128" t="str">
        <f t="shared" si="12"/>
        <v xml:space="preserve">Добавить вид теплоносителя (параметры теплоносителя)</v>
      </c>
      <c r="AQ51" s="128"/>
      <c r="AR51" s="128"/>
    </row>
    <row r="52" ht="11.25" customHeight="1">
      <c r="A52" s="478" t="s">
        <v>182</v>
      </c>
      <c r="B52" s="478" t="s">
        <v>183</v>
      </c>
      <c r="C52" s="478" t="s">
        <v>184</v>
      </c>
      <c r="D52" s="478" t="s">
        <v>185</v>
      </c>
      <c r="E52" s="490"/>
      <c r="F52" s="490"/>
      <c r="G52" s="490"/>
      <c r="H52" s="490"/>
      <c r="I52" s="167"/>
      <c r="J52" s="478"/>
      <c r="K52" s="478"/>
      <c r="L52" s="480"/>
      <c r="P52" s="131"/>
      <c r="Q52" s="131"/>
      <c r="R52" s="497"/>
      <c r="S52" s="513"/>
      <c r="T52" s="521" t="s">
        <v>402</v>
      </c>
      <c r="U52" s="215"/>
      <c r="V52" s="215"/>
      <c r="W52" s="215"/>
      <c r="X52" s="215"/>
      <c r="Y52" s="215"/>
      <c r="Z52" s="215"/>
      <c r="AA52" s="215"/>
      <c r="AB52" s="215"/>
      <c r="AC52" s="518"/>
      <c r="AD52" s="215"/>
      <c r="AE52" s="215"/>
      <c r="AF52" s="215"/>
      <c r="AG52" s="215"/>
      <c r="AH52" s="215"/>
      <c r="AI52" s="215"/>
      <c r="AJ52" s="215"/>
      <c r="AK52" s="518"/>
      <c r="AL52" s="215"/>
      <c r="AM52" s="519"/>
      <c r="AO52" s="128"/>
      <c r="AP52" s="128" t="str">
        <f t="shared" si="12"/>
        <v xml:space="preserve">Добавить группу потребителей</v>
      </c>
      <c r="AQ52" s="128"/>
      <c r="AR52" s="128"/>
    </row>
    <row r="53" ht="0" customHeight="1">
      <c r="A53" s="478" t="s">
        <v>182</v>
      </c>
      <c r="B53" s="478" t="s">
        <v>183</v>
      </c>
      <c r="C53" s="478" t="s">
        <v>184</v>
      </c>
      <c r="D53" s="478" t="s">
        <v>185</v>
      </c>
      <c r="E53" s="490"/>
      <c r="F53" s="490"/>
      <c r="G53" s="490"/>
      <c r="H53" s="479"/>
      <c r="I53" s="478"/>
      <c r="J53" s="478"/>
      <c r="K53" s="478"/>
      <c r="L53" s="480"/>
      <c r="M53" s="481"/>
      <c r="N53" s="481"/>
      <c r="O53" s="53"/>
      <c r="P53" s="142"/>
      <c r="Q53" s="520"/>
      <c r="R53" s="482"/>
      <c r="S53" s="582"/>
      <c r="T53" s="583"/>
      <c r="U53" s="584"/>
      <c r="V53" s="584"/>
      <c r="W53" s="584"/>
      <c r="X53" s="584"/>
      <c r="Y53" s="584"/>
      <c r="Z53" s="584"/>
      <c r="AA53" s="584"/>
      <c r="AB53" s="584"/>
      <c r="AC53" s="584"/>
      <c r="AD53" s="584"/>
      <c r="AE53" s="584"/>
      <c r="AF53" s="584"/>
      <c r="AG53" s="584"/>
      <c r="AH53" s="584"/>
      <c r="AI53" s="584"/>
      <c r="AJ53" s="584"/>
      <c r="AK53" s="584"/>
      <c r="AL53" s="584"/>
      <c r="AM53" s="585"/>
      <c r="AO53" s="128"/>
      <c r="AP53" s="128" t="str">
        <f t="shared" si="12"/>
        <v/>
      </c>
      <c r="AQ53" s="128"/>
      <c r="AR53" s="128"/>
    </row>
    <row r="54" s="57" customFormat="1" ht="0.75" customHeight="1">
      <c r="A54" s="132" t="s">
        <v>182</v>
      </c>
      <c r="B54" s="132" t="s">
        <v>183</v>
      </c>
      <c r="C54" s="132" t="s">
        <v>184</v>
      </c>
      <c r="D54" s="132"/>
      <c r="E54" s="490"/>
      <c r="F54" s="490"/>
      <c r="G54" s="479"/>
      <c r="H54" s="132"/>
      <c r="I54" s="132"/>
      <c r="J54" s="132"/>
      <c r="K54" s="132"/>
      <c r="L54" s="213"/>
      <c r="M54" s="463"/>
      <c r="N54" s="463"/>
      <c r="P54" s="166"/>
      <c r="Q54" s="522"/>
      <c r="R54" s="166"/>
      <c r="S54" s="527"/>
      <c r="T54" s="530" t="s">
        <v>404</v>
      </c>
      <c r="U54" s="529"/>
      <c r="V54" s="529"/>
      <c r="W54" s="529"/>
      <c r="X54" s="529"/>
      <c r="Y54" s="529"/>
      <c r="Z54" s="529"/>
      <c r="AA54" s="529"/>
      <c r="AB54" s="529"/>
      <c r="AC54" s="529"/>
      <c r="AD54" s="529"/>
      <c r="AE54" s="529"/>
      <c r="AF54" s="529"/>
      <c r="AG54" s="529"/>
      <c r="AH54" s="529"/>
      <c r="AI54" s="529"/>
      <c r="AJ54" s="529"/>
      <c r="AK54" s="529"/>
      <c r="AL54" s="529"/>
      <c r="AM54" s="529"/>
      <c r="AO54" s="128"/>
      <c r="AP54" s="128" t="str">
        <f t="shared" si="12"/>
        <v xml:space="preserve">Добавить источник для дифференциации</v>
      </c>
      <c r="AQ54" s="128"/>
      <c r="AR54" s="128"/>
    </row>
    <row r="55" s="57" customFormat="1" ht="0.75" customHeight="1">
      <c r="A55" s="132" t="s">
        <v>182</v>
      </c>
      <c r="B55" s="132" t="s">
        <v>183</v>
      </c>
      <c r="C55" s="132"/>
      <c r="D55" s="132"/>
      <c r="E55" s="490"/>
      <c r="F55" s="479"/>
      <c r="G55" s="132"/>
      <c r="H55" s="132"/>
      <c r="I55" s="132"/>
      <c r="J55" s="132"/>
      <c r="K55" s="132"/>
      <c r="L55" s="213"/>
      <c r="M55" s="526"/>
      <c r="N55" s="526"/>
      <c r="P55" s="166"/>
      <c r="Q55" s="522"/>
      <c r="R55" s="166"/>
      <c r="S55" s="527"/>
      <c r="T55" s="530" t="s">
        <v>405</v>
      </c>
      <c r="U55" s="529"/>
      <c r="V55" s="529"/>
      <c r="W55" s="529"/>
      <c r="X55" s="529"/>
      <c r="Y55" s="529"/>
      <c r="Z55" s="529"/>
      <c r="AA55" s="529"/>
      <c r="AB55" s="529"/>
      <c r="AC55" s="529"/>
      <c r="AD55" s="529"/>
      <c r="AE55" s="529"/>
      <c r="AF55" s="529"/>
      <c r="AG55" s="529"/>
      <c r="AH55" s="529"/>
      <c r="AI55" s="529"/>
      <c r="AJ55" s="529"/>
      <c r="AK55" s="529"/>
      <c r="AL55" s="529"/>
      <c r="AM55" s="529"/>
      <c r="AO55" s="128"/>
      <c r="AP55" s="128" t="str">
        <f t="shared" si="12"/>
        <v xml:space="preserve">Добавить централизованную систему для дифференциации</v>
      </c>
      <c r="AQ55" s="128"/>
      <c r="AR55" s="128"/>
    </row>
    <row r="56" s="57" customFormat="1" ht="0.75" customHeight="1">
      <c r="A56" s="132" t="s">
        <v>182</v>
      </c>
      <c r="B56" s="132"/>
      <c r="C56" s="132"/>
      <c r="D56" s="132"/>
      <c r="E56" s="479"/>
      <c r="F56" s="132"/>
      <c r="G56" s="132"/>
      <c r="H56" s="132"/>
      <c r="I56" s="132"/>
      <c r="J56" s="132"/>
      <c r="K56" s="132"/>
      <c r="L56" s="213"/>
      <c r="M56" s="526"/>
      <c r="N56" s="526"/>
      <c r="O56" s="57"/>
      <c r="P56" s="166"/>
      <c r="Q56" s="522"/>
      <c r="R56" s="166"/>
      <c r="S56" s="527"/>
      <c r="T56" s="530" t="s">
        <v>406</v>
      </c>
      <c r="U56" s="529"/>
      <c r="V56" s="529"/>
      <c r="W56" s="529"/>
      <c r="X56" s="529"/>
      <c r="Y56" s="529"/>
      <c r="Z56" s="529"/>
      <c r="AA56" s="529"/>
      <c r="AB56" s="529"/>
      <c r="AC56" s="529"/>
      <c r="AD56" s="529"/>
      <c r="AE56" s="529"/>
      <c r="AF56" s="529"/>
      <c r="AG56" s="529"/>
      <c r="AH56" s="529"/>
      <c r="AI56" s="529"/>
      <c r="AJ56" s="529"/>
      <c r="AK56" s="529"/>
      <c r="AL56" s="529"/>
      <c r="AM56" s="529"/>
      <c r="AO56" s="128"/>
      <c r="AP56" s="128" t="str">
        <f t="shared" si="12"/>
        <v xml:space="preserve">Добавить территорию для дифференциации</v>
      </c>
      <c r="AQ56" s="128"/>
      <c r="AR56" s="128"/>
    </row>
    <row r="57" s="57" customFormat="1" ht="0.75" customHeight="1">
      <c r="A57" s="132"/>
      <c r="B57" s="132"/>
      <c r="C57" s="132"/>
      <c r="D57" s="132"/>
      <c r="E57" s="132"/>
      <c r="F57" s="132"/>
      <c r="G57" s="132"/>
      <c r="H57" s="132"/>
      <c r="I57" s="132"/>
      <c r="J57" s="132"/>
      <c r="K57" s="132"/>
      <c r="L57" s="213"/>
      <c r="M57" s="526"/>
      <c r="N57" s="526"/>
      <c r="P57" s="166"/>
      <c r="Q57" s="522"/>
      <c r="R57" s="166"/>
      <c r="S57" s="527"/>
      <c r="T57" s="530" t="s">
        <v>438</v>
      </c>
      <c r="U57" s="529"/>
      <c r="V57" s="529"/>
      <c r="W57" s="529"/>
      <c r="X57" s="529"/>
      <c r="Y57" s="529"/>
      <c r="Z57" s="529"/>
      <c r="AA57" s="529"/>
      <c r="AB57" s="529"/>
      <c r="AC57" s="529"/>
      <c r="AD57" s="529"/>
      <c r="AE57" s="529"/>
      <c r="AF57" s="529"/>
      <c r="AG57" s="529"/>
      <c r="AH57" s="529"/>
      <c r="AI57" s="529"/>
      <c r="AJ57" s="529"/>
      <c r="AK57" s="529"/>
      <c r="AL57" s="529"/>
      <c r="AM57" s="529"/>
      <c r="AO57" s="128"/>
      <c r="AP57" s="128" t="str">
        <f t="shared" si="12"/>
        <v xml:space="preserve">Добавить наименование тарифа</v>
      </c>
      <c r="AQ57" s="128"/>
      <c r="AR57" s="128"/>
    </row>
    <row r="58" ht="11.25" customHeight="1">
      <c r="M58" s="53"/>
      <c r="N58" s="53"/>
      <c r="O58" s="53"/>
      <c r="P58" s="50"/>
      <c r="Q58" s="50"/>
      <c r="R58" s="50"/>
      <c r="S58" s="50"/>
      <c r="AN58" s="50"/>
      <c r="AO58" s="50"/>
      <c r="AP58" s="50"/>
      <c r="AQ58" s="50"/>
      <c r="AR58" s="50"/>
    </row>
    <row r="59" ht="21.75" customHeight="1">
      <c r="O59" s="53"/>
      <c r="S59" s="475"/>
      <c r="T59" s="572"/>
      <c r="U59" s="572"/>
      <c r="V59" s="572"/>
      <c r="W59" s="572"/>
      <c r="X59" s="572"/>
      <c r="Y59" s="572"/>
      <c r="Z59" s="572"/>
      <c r="AA59" s="572"/>
      <c r="AB59" s="572"/>
      <c r="AC59" s="572"/>
      <c r="AD59" s="572"/>
      <c r="AE59" s="572"/>
      <c r="AF59" s="572"/>
      <c r="AG59" s="572"/>
      <c r="AH59" s="572"/>
      <c r="AI59" s="572"/>
      <c r="AJ59" s="572"/>
      <c r="AK59" s="572"/>
      <c r="AL59" s="572"/>
      <c r="AM59" s="572"/>
    </row>
    <row r="60" ht="29.25" customHeight="1">
      <c r="O60" s="53"/>
      <c r="T60" s="572"/>
      <c r="U60" s="572"/>
      <c r="V60" s="572"/>
      <c r="W60" s="572"/>
      <c r="X60" s="572"/>
      <c r="Y60" s="572"/>
      <c r="Z60" s="572"/>
      <c r="AA60" s="572"/>
      <c r="AB60" s="572"/>
      <c r="AC60" s="572"/>
      <c r="AD60" s="572"/>
      <c r="AE60" s="572"/>
      <c r="AF60" s="572"/>
      <c r="AG60" s="572"/>
      <c r="AH60" s="572"/>
      <c r="AI60" s="572"/>
      <c r="AJ60" s="572"/>
      <c r="AK60" s="572"/>
      <c r="AL60" s="572"/>
      <c r="AM60" s="572"/>
    </row>
    <row r="61" ht="39.75" customHeight="1">
      <c r="O61" s="53"/>
      <c r="T61" s="572"/>
      <c r="U61" s="572"/>
      <c r="V61" s="572"/>
      <c r="W61" s="572"/>
      <c r="X61" s="572"/>
      <c r="Y61" s="572"/>
      <c r="Z61" s="572"/>
      <c r="AA61" s="572"/>
      <c r="AB61" s="572"/>
      <c r="AC61" s="572"/>
      <c r="AD61" s="572"/>
      <c r="AE61" s="572"/>
      <c r="AF61" s="572"/>
      <c r="AG61" s="572"/>
      <c r="AH61" s="572"/>
      <c r="AI61" s="572"/>
      <c r="AJ61" s="572"/>
      <c r="AK61" s="572"/>
      <c r="AL61" s="572"/>
      <c r="AM61" s="572"/>
    </row>
    <row r="62" ht="14.25" customHeight="1">
      <c r="O62" s="53"/>
    </row>
    <row r="63" ht="19.5" customHeight="1">
      <c r="O63" s="53"/>
      <c r="S63" s="475"/>
      <c r="T63" s="289"/>
      <c r="U63" s="572"/>
      <c r="V63" s="572"/>
      <c r="W63" s="572"/>
      <c r="X63" s="572"/>
      <c r="Y63" s="572"/>
      <c r="Z63" s="572"/>
      <c r="AA63" s="572"/>
      <c r="AB63" s="572"/>
      <c r="AC63" s="572"/>
      <c r="AD63" s="572"/>
      <c r="AE63" s="572"/>
      <c r="AF63" s="572"/>
      <c r="AG63" s="572"/>
      <c r="AH63" s="572"/>
      <c r="AI63" s="572"/>
      <c r="AJ63" s="572"/>
      <c r="AK63" s="572"/>
      <c r="AL63" s="572"/>
      <c r="AM63" s="572"/>
    </row>
    <row r="64" ht="27.75" customHeight="1">
      <c r="O64" s="53"/>
      <c r="T64" s="572"/>
      <c r="U64" s="572"/>
      <c r="V64" s="572"/>
      <c r="W64" s="572"/>
      <c r="X64" s="572"/>
      <c r="Y64" s="572"/>
      <c r="Z64" s="572"/>
      <c r="AA64" s="572"/>
      <c r="AB64" s="572"/>
      <c r="AC64" s="572"/>
      <c r="AD64" s="572"/>
      <c r="AE64" s="572"/>
      <c r="AF64" s="572"/>
      <c r="AG64" s="572"/>
      <c r="AH64" s="572"/>
      <c r="AI64" s="572"/>
      <c r="AJ64" s="572"/>
      <c r="AK64" s="572"/>
      <c r="AL64" s="572"/>
      <c r="AM64" s="572"/>
    </row>
    <row r="65" ht="33.75" customHeight="1">
      <c r="T65" s="572"/>
      <c r="U65" s="572"/>
      <c r="V65" s="572"/>
      <c r="W65" s="572"/>
      <c r="X65" s="572"/>
      <c r="Y65" s="572"/>
      <c r="Z65" s="572"/>
      <c r="AA65" s="572"/>
      <c r="AB65" s="572"/>
      <c r="AC65" s="572"/>
      <c r="AD65" s="572"/>
      <c r="AE65" s="572"/>
      <c r="AF65" s="572"/>
      <c r="AG65" s="572"/>
      <c r="AH65" s="572"/>
      <c r="AI65" s="572"/>
      <c r="AJ65" s="572"/>
      <c r="AK65" s="572"/>
      <c r="AL65" s="572"/>
      <c r="AM65" s="572"/>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C0053-0044-434E-8793-0097007100E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03009C-003E-4574-A6C1-00F40004006E}"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9E0039-00D2-48B9-A63C-00A9006F003D}"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0600EE-0095-4015-B1DA-00ED00770094}"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Q25"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0" width="3.7109375"/>
    <col customWidth="1" min="17" max="18" style="477" width="3.7109375"/>
    <col customWidth="1" min="19" max="19" style="322" width="12.7109375"/>
    <col customWidth="1" min="20" max="20" style="50" width="32.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7109375"/>
    <col customWidth="1" min="34" max="34" style="50" width="11.7109375"/>
    <col customWidth="1" min="35" max="35" style="50" width="3.7109375"/>
    <col customWidth="1" min="36" max="36" style="50" width="11.7109375"/>
    <col customWidth="1" hidden="1" min="37" max="37" style="50" width="8.57421875"/>
    <col customWidth="1" min="38" max="38" style="50" width="4.7109375"/>
    <col customWidth="1" min="39" max="39" style="50" width="115.7109375"/>
    <col min="40" max="41" style="57" width="10.57421875"/>
    <col customWidth="1" min="42" max="42" style="57" width="11.140625"/>
    <col min="43" max="44" style="57" width="10.57421875"/>
  </cols>
  <sheetData>
    <row r="1" ht="14.25" hidden="1" customHeight="1">
      <c r="Y1" s="50"/>
      <c r="Z1" s="50"/>
      <c r="AG1" s="50"/>
      <c r="AH1" s="50"/>
    </row>
    <row r="2" ht="21"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7"/>
      <c r="AC2" s="488"/>
      <c r="AD2" s="486" t="e">
        <f>INDEX(PT_DIFFERENTIATION_NTAR,MATCH(A2,PT_DIFFERENTIATION_NTAR_ID,0))</f>
        <v>#VALUE!</v>
      </c>
      <c r="AE2" s="487"/>
      <c r="AF2" s="487"/>
      <c r="AG2" s="487"/>
      <c r="AH2" s="487"/>
      <c r="AI2" s="487"/>
      <c r="AJ2" s="487"/>
      <c r="AK2" s="487"/>
      <c r="AL2" s="488"/>
      <c r="AM2" s="489" t="s">
        <v>386</v>
      </c>
      <c r="AO2" s="128"/>
      <c r="AP2" s="128" t="str">
        <f t="shared" ref="AP2:AP9" si="13">IF(T2="","",T2)</f>
        <v xml:space="preserve">Наименование тарифа</v>
      </c>
      <c r="AQ2" s="128"/>
      <c r="AR2" s="128"/>
    </row>
    <row r="3" ht="21"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7"/>
      <c r="AC3" s="488"/>
      <c r="AD3" s="486" t="e">
        <f>INDEX(PT_DIFFERENTIATION_TER,MATCH(B3,PT_DIFFERENTIATION_TER_ID,0))</f>
        <v>#VALUE!</v>
      </c>
      <c r="AE3" s="487"/>
      <c r="AF3" s="487"/>
      <c r="AG3" s="487"/>
      <c r="AH3" s="487"/>
      <c r="AI3" s="487"/>
      <c r="AJ3" s="487"/>
      <c r="AK3" s="487"/>
      <c r="AL3" s="488"/>
      <c r="AM3" s="489" t="s">
        <v>388</v>
      </c>
      <c r="AO3" s="128"/>
      <c r="AP3" s="128" t="str">
        <f t="shared" si="13"/>
        <v xml:space="preserve">Территория действия тарифа</v>
      </c>
      <c r="AQ3" s="128"/>
      <c r="AR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389</v>
      </c>
      <c r="U4" s="485"/>
      <c r="V4" s="486"/>
      <c r="W4" s="487"/>
      <c r="X4" s="487"/>
      <c r="Y4" s="487"/>
      <c r="Z4" s="487"/>
      <c r="AA4" s="487"/>
      <c r="AB4" s="487"/>
      <c r="AC4" s="488"/>
      <c r="AD4" s="486" t="e">
        <f>INDEX(PT_DIFFERENTIATION_CS,MATCH(C4,PT_DIFFERENTIATION_CS_ID,0))</f>
        <v>#VALUE!</v>
      </c>
      <c r="AE4" s="487"/>
      <c r="AF4" s="487"/>
      <c r="AG4" s="487"/>
      <c r="AH4" s="487"/>
      <c r="AI4" s="487"/>
      <c r="AJ4" s="487"/>
      <c r="AK4" s="487"/>
      <c r="AL4" s="488"/>
      <c r="AM4" s="489" t="s">
        <v>390</v>
      </c>
      <c r="AO4" s="128"/>
      <c r="AP4" s="128" t="str">
        <f t="shared" si="13"/>
        <v xml:space="preserve">Наименование системы теплоснабжения</v>
      </c>
      <c r="AQ4" s="128"/>
      <c r="AR4" s="128"/>
    </row>
    <row r="5" ht="21" hidden="1" customHeight="1">
      <c r="A5" s="478"/>
      <c r="B5" s="478"/>
      <c r="C5" s="478"/>
      <c r="D5" s="478"/>
      <c r="E5" s="490"/>
      <c r="F5" s="490"/>
      <c r="G5" s="490"/>
      <c r="H5" s="479">
        <v>1</v>
      </c>
      <c r="I5" s="478"/>
      <c r="J5" s="478"/>
      <c r="K5" s="478"/>
      <c r="L5" s="480"/>
      <c r="M5" s="481"/>
      <c r="N5" s="481"/>
      <c r="O5" s="481"/>
      <c r="P5" s="494"/>
      <c r="Q5" s="491"/>
      <c r="R5" s="492"/>
      <c r="S5" s="483" t="e">
        <f>INDEX(PT_DIFFERENTIATION_NUM_IST_TE,MATCH(D5,PT_DIFFERENTIATION_IST_TE_ID,0))</f>
        <v>#VALUE!</v>
      </c>
      <c r="T5" s="496" t="s">
        <v>391</v>
      </c>
      <c r="U5" s="485"/>
      <c r="V5" s="486"/>
      <c r="W5" s="487"/>
      <c r="X5" s="487"/>
      <c r="Y5" s="487"/>
      <c r="Z5" s="487"/>
      <c r="AA5" s="487"/>
      <c r="AB5" s="487"/>
      <c r="AC5" s="488"/>
      <c r="AD5" s="486" t="e">
        <f>INDEX(PT_DIFFERENTIATION_IST_TE,MATCH(D5,PT_DIFFERENTIATION_IST_TE_ID,0))</f>
        <v>#VALUE!</v>
      </c>
      <c r="AE5" s="487"/>
      <c r="AF5" s="487"/>
      <c r="AG5" s="487"/>
      <c r="AH5" s="487"/>
      <c r="AI5" s="487"/>
      <c r="AJ5" s="487"/>
      <c r="AK5" s="487"/>
      <c r="AL5" s="488"/>
      <c r="AM5" s="489" t="s">
        <v>392</v>
      </c>
      <c r="AO5" s="128"/>
      <c r="AP5" s="128" t="str">
        <f t="shared" si="13"/>
        <v xml:space="preserve">Источник тепловой энергии</v>
      </c>
      <c r="AQ5" s="128"/>
      <c r="AR5" s="128"/>
    </row>
    <row r="6" ht="14.25" hidden="1" customHeight="1">
      <c r="A6" s="478"/>
      <c r="B6" s="478"/>
      <c r="C6" s="478"/>
      <c r="D6" s="478"/>
      <c r="E6" s="490"/>
      <c r="F6" s="490"/>
      <c r="G6" s="490"/>
      <c r="H6" s="490"/>
      <c r="I6" s="167" t="e">
        <f>S5&amp;".1"</f>
        <v>#VALUE!</v>
      </c>
      <c r="J6" s="478"/>
      <c r="K6" s="478"/>
      <c r="L6" s="480" t="s">
        <v>393</v>
      </c>
      <c r="M6" s="53"/>
      <c r="P6" s="131">
        <v>1</v>
      </c>
      <c r="Q6" s="131"/>
      <c r="R6" s="497"/>
      <c r="S6" s="351"/>
      <c r="T6" s="576"/>
      <c r="U6" s="577"/>
      <c r="V6" s="578"/>
      <c r="W6" s="579"/>
      <c r="X6" s="579"/>
      <c r="Y6" s="579"/>
      <c r="Z6" s="579"/>
      <c r="AA6" s="579"/>
      <c r="AB6" s="579"/>
      <c r="AC6" s="580"/>
      <c r="AD6" s="578"/>
      <c r="AE6" s="579"/>
      <c r="AF6" s="579"/>
      <c r="AG6" s="579"/>
      <c r="AH6" s="579"/>
      <c r="AI6" s="579"/>
      <c r="AJ6" s="579"/>
      <c r="AK6" s="579"/>
      <c r="AL6" s="580"/>
      <c r="AM6" s="581"/>
      <c r="AO6" s="128"/>
      <c r="AP6" s="128" t="str">
        <f t="shared" si="13"/>
        <v/>
      </c>
      <c r="AQ6" s="128"/>
      <c r="AR6" s="128"/>
    </row>
    <row r="7" ht="21" hidden="1" customHeight="1">
      <c r="A7" s="478"/>
      <c r="B7" s="478"/>
      <c r="C7" s="478"/>
      <c r="D7" s="478"/>
      <c r="E7" s="490"/>
      <c r="F7" s="490"/>
      <c r="G7" s="490"/>
      <c r="H7" s="490"/>
      <c r="I7" s="501"/>
      <c r="J7" s="167" t="e">
        <f>I6&amp;".1"</f>
        <v>#VALUE!</v>
      </c>
      <c r="K7" s="478"/>
      <c r="L7" s="480" t="s">
        <v>396</v>
      </c>
      <c r="M7" s="53"/>
      <c r="N7" s="53"/>
      <c r="P7" s="131"/>
      <c r="Q7" s="131">
        <v>1</v>
      </c>
      <c r="R7" s="502"/>
      <c r="S7" s="483" t="e">
        <f>$J7</f>
        <v>#VALUE!</v>
      </c>
      <c r="T7" s="503" t="s">
        <v>397</v>
      </c>
      <c r="U7" s="485"/>
      <c r="V7" s="430"/>
      <c r="W7" s="499"/>
      <c r="X7" s="499"/>
      <c r="Y7" s="499"/>
      <c r="Z7" s="499"/>
      <c r="AA7" s="499"/>
      <c r="AB7" s="499"/>
      <c r="AC7" s="500"/>
      <c r="AD7" s="430"/>
      <c r="AE7" s="499"/>
      <c r="AF7" s="499"/>
      <c r="AG7" s="499"/>
      <c r="AH7" s="499"/>
      <c r="AI7" s="499"/>
      <c r="AJ7" s="499"/>
      <c r="AK7" s="499"/>
      <c r="AL7" s="500"/>
      <c r="AM7" s="489" t="s">
        <v>398</v>
      </c>
      <c r="AO7" s="128"/>
      <c r="AP7" s="128" t="str">
        <f t="shared" si="13"/>
        <v xml:space="preserve">Группа потребителей</v>
      </c>
      <c r="AQ7" s="128"/>
      <c r="AR7" s="128"/>
    </row>
    <row r="8" ht="21" hidden="1" customHeight="1">
      <c r="A8" s="478"/>
      <c r="B8" s="478"/>
      <c r="C8" s="478"/>
      <c r="D8" s="478"/>
      <c r="E8" s="490"/>
      <c r="F8" s="490"/>
      <c r="G8" s="490"/>
      <c r="H8" s="490"/>
      <c r="I8" s="501"/>
      <c r="J8" s="501"/>
      <c r="K8" s="167" t="e">
        <f>J7&amp;".1"</f>
        <v>#VALUE!</v>
      </c>
      <c r="L8" s="480" t="s">
        <v>399</v>
      </c>
      <c r="M8" s="53"/>
      <c r="N8" s="53"/>
      <c r="O8" s="53"/>
      <c r="P8" s="131"/>
      <c r="Q8" s="131"/>
      <c r="R8" s="502">
        <v>1</v>
      </c>
      <c r="S8" s="483" t="e">
        <f>$K8</f>
        <v>#VALUE!</v>
      </c>
      <c r="T8" s="504"/>
      <c r="U8" s="485"/>
      <c r="V8" s="505"/>
      <c r="W8" s="506"/>
      <c r="X8" s="505"/>
      <c r="Y8" s="507"/>
      <c r="Z8" s="508"/>
      <c r="AA8" s="225" t="s">
        <v>56</v>
      </c>
      <c r="AB8" s="508"/>
      <c r="AC8" s="225" t="s">
        <v>56</v>
      </c>
      <c r="AD8" s="505"/>
      <c r="AE8" s="506"/>
      <c r="AF8" s="505"/>
      <c r="AG8" s="507"/>
      <c r="AH8" s="508"/>
      <c r="AI8" s="225" t="s">
        <v>56</v>
      </c>
      <c r="AJ8" s="508"/>
      <c r="AK8" s="225" t="s">
        <v>56</v>
      </c>
      <c r="AL8" s="506"/>
      <c r="AM8" s="509" t="s">
        <v>400</v>
      </c>
      <c r="AN8" s="57" t="e">
        <f>STRCHECKDATE(V9:AL9)</f>
        <v>#NAME?</v>
      </c>
      <c r="AO8" s="128"/>
      <c r="AP8" s="128" t="str">
        <f t="shared" si="13"/>
        <v/>
      </c>
      <c r="AQ8" s="128"/>
      <c r="AR8" s="128"/>
    </row>
    <row r="9" ht="14.25" hidden="1" customHeight="1">
      <c r="A9" s="478"/>
      <c r="B9" s="478"/>
      <c r="C9" s="478"/>
      <c r="D9" s="478"/>
      <c r="E9" s="490"/>
      <c r="F9" s="490"/>
      <c r="G9" s="490"/>
      <c r="H9" s="490"/>
      <c r="I9" s="501"/>
      <c r="J9" s="501"/>
      <c r="K9" s="167"/>
      <c r="L9" s="480"/>
      <c r="M9" s="53"/>
      <c r="N9" s="53"/>
      <c r="O9" s="53"/>
      <c r="P9" s="131"/>
      <c r="Q9" s="131"/>
      <c r="R9" s="502"/>
      <c r="S9" s="457"/>
      <c r="T9" s="485"/>
      <c r="U9" s="485"/>
      <c r="V9" s="506"/>
      <c r="W9" s="506"/>
      <c r="X9" s="506"/>
      <c r="Y9" s="510" t="str">
        <f>Z8&amp;"-"&amp;AB8</f>
        <v>-</v>
      </c>
      <c r="Z9" s="511"/>
      <c r="AA9" s="225"/>
      <c r="AB9" s="511"/>
      <c r="AC9" s="225"/>
      <c r="AD9" s="506"/>
      <c r="AE9" s="506"/>
      <c r="AF9" s="506"/>
      <c r="AG9" s="510" t="str">
        <f>AH8&amp;"-"&amp;AJ8</f>
        <v>-</v>
      </c>
      <c r="AH9" s="511"/>
      <c r="AI9" s="225"/>
      <c r="AJ9" s="511"/>
      <c r="AK9" s="225"/>
      <c r="AL9" s="506"/>
      <c r="AM9" s="512"/>
      <c r="AO9" s="128"/>
      <c r="AP9" s="128" t="str">
        <f t="shared" si="13"/>
        <v/>
      </c>
      <c r="AQ9" s="128"/>
      <c r="AR9" s="128"/>
    </row>
    <row r="10" ht="15" hidden="1" customHeight="1">
      <c r="A10" s="478"/>
      <c r="B10" s="478"/>
      <c r="C10" s="478"/>
      <c r="D10" s="478"/>
      <c r="E10" s="490"/>
      <c r="F10" s="490"/>
      <c r="G10" s="490"/>
      <c r="H10" s="490"/>
      <c r="I10" s="501"/>
      <c r="J10" s="167"/>
      <c r="K10" s="478"/>
      <c r="L10" s="480"/>
      <c r="M10" s="53"/>
      <c r="N10" s="53"/>
      <c r="P10" s="131"/>
      <c r="Q10" s="131"/>
      <c r="R10" s="497"/>
      <c r="S10" s="513"/>
      <c r="T10" s="517" t="s">
        <v>401</v>
      </c>
      <c r="U10" s="215"/>
      <c r="V10" s="215"/>
      <c r="W10" s="215"/>
      <c r="X10" s="215"/>
      <c r="Y10" s="215"/>
      <c r="Z10" s="215"/>
      <c r="AA10" s="215"/>
      <c r="AB10" s="215"/>
      <c r="AC10" s="215"/>
      <c r="AD10" s="215"/>
      <c r="AE10" s="215"/>
      <c r="AF10" s="215"/>
      <c r="AG10" s="215"/>
      <c r="AH10" s="215"/>
      <c r="AI10" s="215"/>
      <c r="AJ10" s="215"/>
      <c r="AK10" s="215"/>
      <c r="AL10" s="515"/>
      <c r="AM10" s="516"/>
      <c r="AO10" s="128"/>
      <c r="AP10" s="128" t="str">
        <f t="shared" ref="AP10:AP57" si="14">IF(T10="","",T10)</f>
        <v xml:space="preserve">Добавить вид теплоносителя (параметры теплоносителя)</v>
      </c>
      <c r="AQ10" s="128"/>
      <c r="AR10" s="128"/>
    </row>
    <row r="11" ht="11.25" hidden="1" customHeight="1">
      <c r="A11" s="478"/>
      <c r="B11" s="478"/>
      <c r="C11" s="478"/>
      <c r="D11" s="478"/>
      <c r="E11" s="490"/>
      <c r="F11" s="490"/>
      <c r="G11" s="490"/>
      <c r="H11" s="490"/>
      <c r="I11" s="167"/>
      <c r="J11" s="478"/>
      <c r="K11" s="478"/>
      <c r="L11" s="480"/>
      <c r="M11" s="53"/>
      <c r="P11" s="131"/>
      <c r="Q11" s="131"/>
      <c r="R11" s="497"/>
      <c r="S11" s="513"/>
      <c r="T11" s="521" t="s">
        <v>402</v>
      </c>
      <c r="U11" s="215"/>
      <c r="V11" s="215"/>
      <c r="W11" s="215"/>
      <c r="X11" s="215"/>
      <c r="Y11" s="215"/>
      <c r="Z11" s="215"/>
      <c r="AA11" s="215"/>
      <c r="AB11" s="215"/>
      <c r="AC11" s="518"/>
      <c r="AD11" s="215"/>
      <c r="AE11" s="215"/>
      <c r="AF11" s="215"/>
      <c r="AG11" s="215"/>
      <c r="AH11" s="215"/>
      <c r="AI11" s="215"/>
      <c r="AJ11" s="215"/>
      <c r="AK11" s="518"/>
      <c r="AL11" s="215"/>
      <c r="AM11" s="519"/>
      <c r="AO11" s="128"/>
      <c r="AP11" s="128" t="str">
        <f t="shared" si="14"/>
        <v xml:space="preserve">Добавить группу потребителей</v>
      </c>
      <c r="AQ11" s="128"/>
      <c r="AR11" s="128"/>
    </row>
    <row r="12" ht="14.25" hidden="1" customHeight="1">
      <c r="A12" s="478"/>
      <c r="B12" s="478"/>
      <c r="C12" s="478"/>
      <c r="D12" s="478"/>
      <c r="E12" s="490"/>
      <c r="F12" s="490"/>
      <c r="G12" s="490"/>
      <c r="H12" s="479"/>
      <c r="I12" s="478"/>
      <c r="J12" s="478"/>
      <c r="K12" s="478"/>
      <c r="L12" s="480"/>
      <c r="M12" s="481"/>
      <c r="N12" s="481"/>
      <c r="O12" s="53"/>
      <c r="P12" s="142"/>
      <c r="Q12" s="520"/>
      <c r="R12" s="482"/>
      <c r="S12" s="582"/>
      <c r="T12" s="583"/>
      <c r="U12" s="584"/>
      <c r="V12" s="584"/>
      <c r="W12" s="584"/>
      <c r="X12" s="584"/>
      <c r="Y12" s="584"/>
      <c r="Z12" s="584"/>
      <c r="AA12" s="584"/>
      <c r="AB12" s="584"/>
      <c r="AC12" s="584"/>
      <c r="AD12" s="584"/>
      <c r="AE12" s="584"/>
      <c r="AF12" s="584"/>
      <c r="AG12" s="584"/>
      <c r="AH12" s="584"/>
      <c r="AI12" s="584"/>
      <c r="AJ12" s="584"/>
      <c r="AK12" s="584"/>
      <c r="AL12" s="584"/>
      <c r="AM12" s="585"/>
      <c r="AO12" s="128"/>
      <c r="AP12" s="128" t="str">
        <f t="shared" si="14"/>
        <v/>
      </c>
      <c r="AQ12" s="128"/>
      <c r="AR12" s="128"/>
    </row>
    <row r="13" s="57" customFormat="1" ht="14.25" hidden="1" customHeight="1">
      <c r="A13" s="132"/>
      <c r="B13" s="132"/>
      <c r="C13" s="132"/>
      <c r="D13" s="132"/>
      <c r="E13" s="490"/>
      <c r="F13" s="490"/>
      <c r="G13" s="479"/>
      <c r="H13" s="132"/>
      <c r="I13" s="132"/>
      <c r="J13" s="132"/>
      <c r="K13" s="132"/>
      <c r="L13" s="213"/>
      <c r="M13" s="463"/>
      <c r="N13" s="463"/>
      <c r="P13" s="166"/>
      <c r="Q13" s="522"/>
      <c r="R13" s="166"/>
      <c r="S13" s="523"/>
      <c r="T13" s="524" t="s">
        <v>404</v>
      </c>
      <c r="U13" s="525"/>
      <c r="V13" s="525"/>
      <c r="W13" s="525"/>
      <c r="X13" s="525"/>
      <c r="Y13" s="525"/>
      <c r="Z13" s="525"/>
      <c r="AA13" s="525"/>
      <c r="AB13" s="525"/>
      <c r="AC13" s="525"/>
      <c r="AD13" s="525"/>
      <c r="AE13" s="525"/>
      <c r="AF13" s="525"/>
      <c r="AG13" s="525"/>
      <c r="AH13" s="525"/>
      <c r="AI13" s="525"/>
      <c r="AJ13" s="525"/>
      <c r="AK13" s="525"/>
      <c r="AL13" s="525"/>
      <c r="AM13" s="525"/>
      <c r="AO13" s="128"/>
      <c r="AP13" s="128" t="str">
        <f t="shared" si="14"/>
        <v xml:space="preserve">Добавить источник для дифференциации</v>
      </c>
      <c r="AQ13" s="128"/>
      <c r="AR13" s="128"/>
    </row>
    <row r="14" s="57" customFormat="1" ht="14.25" hidden="1" customHeight="1">
      <c r="A14" s="132"/>
      <c r="B14" s="132"/>
      <c r="C14" s="132"/>
      <c r="D14" s="132"/>
      <c r="E14" s="490"/>
      <c r="F14" s="479"/>
      <c r="G14" s="132"/>
      <c r="H14" s="132"/>
      <c r="I14" s="132"/>
      <c r="J14" s="132"/>
      <c r="K14" s="132"/>
      <c r="L14" s="213"/>
      <c r="M14" s="526"/>
      <c r="N14" s="526"/>
      <c r="P14" s="166"/>
      <c r="Q14" s="522"/>
      <c r="R14" s="166"/>
      <c r="S14" s="527"/>
      <c r="T14" s="528" t="s">
        <v>405</v>
      </c>
      <c r="U14" s="529"/>
      <c r="V14" s="529"/>
      <c r="W14" s="529"/>
      <c r="X14" s="529"/>
      <c r="Y14" s="529"/>
      <c r="Z14" s="529"/>
      <c r="AA14" s="529"/>
      <c r="AB14" s="529"/>
      <c r="AC14" s="529"/>
      <c r="AD14" s="529"/>
      <c r="AE14" s="529"/>
      <c r="AF14" s="529"/>
      <c r="AG14" s="529"/>
      <c r="AH14" s="529"/>
      <c r="AI14" s="529"/>
      <c r="AJ14" s="529"/>
      <c r="AK14" s="529"/>
      <c r="AL14" s="529"/>
      <c r="AM14" s="529"/>
      <c r="AO14" s="128"/>
      <c r="AP14" s="128" t="str">
        <f t="shared" si="14"/>
        <v xml:space="preserve">Добавить централизованную систему для дифференциации</v>
      </c>
      <c r="AQ14" s="128"/>
      <c r="AR14" s="128"/>
    </row>
    <row r="15" s="57" customFormat="1" ht="14.25" hidden="1" customHeight="1">
      <c r="A15" s="132"/>
      <c r="B15" s="132"/>
      <c r="C15" s="132"/>
      <c r="D15" s="132"/>
      <c r="E15" s="479"/>
      <c r="F15" s="132"/>
      <c r="G15" s="132"/>
      <c r="H15" s="132"/>
      <c r="I15" s="132"/>
      <c r="J15" s="132"/>
      <c r="K15" s="132"/>
      <c r="L15" s="213"/>
      <c r="M15" s="526"/>
      <c r="N15" s="526"/>
      <c r="P15" s="166"/>
      <c r="Q15" s="522"/>
      <c r="R15" s="166"/>
      <c r="S15" s="527"/>
      <c r="T15" s="530" t="s">
        <v>406</v>
      </c>
      <c r="U15" s="529"/>
      <c r="V15" s="529"/>
      <c r="W15" s="529"/>
      <c r="X15" s="529"/>
      <c r="Y15" s="529"/>
      <c r="Z15" s="529"/>
      <c r="AA15" s="529"/>
      <c r="AB15" s="529"/>
      <c r="AC15" s="529"/>
      <c r="AD15" s="529"/>
      <c r="AE15" s="529"/>
      <c r="AF15" s="529"/>
      <c r="AG15" s="529"/>
      <c r="AH15" s="529"/>
      <c r="AI15" s="529"/>
      <c r="AJ15" s="529"/>
      <c r="AK15" s="529"/>
      <c r="AL15" s="529"/>
      <c r="AM15" s="529"/>
      <c r="AO15" s="128"/>
      <c r="AP15" s="128" t="str">
        <f t="shared" si="14"/>
        <v xml:space="preserve">Добавить территорию для дифференциации</v>
      </c>
      <c r="AQ15" s="128"/>
      <c r="AR15" s="128"/>
    </row>
    <row r="16" ht="14.25" hidden="1" customHeight="1">
      <c r="AC16" s="50"/>
      <c r="AK16" s="50"/>
    </row>
    <row r="17" ht="14.25" hidden="1" customHeight="1">
      <c r="AD17" s="531"/>
      <c r="AE17" s="531"/>
      <c r="AF17" s="531"/>
      <c r="AG17" s="532"/>
      <c r="AH17" s="533"/>
      <c r="AI17" s="534" t="s">
        <v>56</v>
      </c>
      <c r="AJ17" s="533"/>
      <c r="AK17" s="534" t="s">
        <v>56</v>
      </c>
    </row>
    <row r="18" ht="14.25" hidden="1" customHeight="1">
      <c r="AD18" s="531"/>
      <c r="AE18" s="531"/>
      <c r="AF18" s="531"/>
      <c r="AG18" s="510" t="str">
        <f>AH17&amp;"-"&amp;AJ17</f>
        <v>-</v>
      </c>
      <c r="AH18" s="534"/>
      <c r="AI18" s="534"/>
      <c r="AJ18" s="534"/>
      <c r="AK18" s="534"/>
    </row>
    <row r="19" ht="14.25" hidden="1" customHeight="1">
      <c r="AK19" s="50"/>
    </row>
    <row r="20" s="53" customFormat="1" ht="22.5" hidden="1" customHeight="1">
      <c r="L20" s="113"/>
      <c r="M20" s="61"/>
      <c r="N20" s="61"/>
      <c r="O20" s="535" t="s">
        <v>407</v>
      </c>
      <c r="P20" s="61"/>
      <c r="Q20" s="536"/>
      <c r="R20" s="536"/>
      <c r="S20" s="481"/>
      <c r="Z20" s="535"/>
      <c r="AB20" s="535"/>
      <c r="AC20" s="53"/>
      <c r="AH20" s="535"/>
      <c r="AJ20" s="535"/>
      <c r="AK20" s="53"/>
      <c r="AN20" s="57"/>
      <c r="AO20" s="57"/>
      <c r="AP20" s="57"/>
      <c r="AQ20" s="57"/>
      <c r="AR20" s="57"/>
    </row>
    <row r="21" s="53" customFormat="1" ht="14.25" hidden="1" customHeight="1">
      <c r="L21" s="113"/>
      <c r="M21" s="61"/>
      <c r="N21" s="61"/>
      <c r="O21" s="61"/>
      <c r="P21" s="61"/>
      <c r="Q21" s="536"/>
      <c r="R21" s="536"/>
      <c r="S21" s="481"/>
      <c r="AC21" s="53"/>
      <c r="AK21" s="53"/>
      <c r="AN21" s="57"/>
      <c r="AO21" s="57"/>
      <c r="AP21" s="57"/>
      <c r="AQ21" s="57"/>
      <c r="AR21" s="57"/>
    </row>
    <row r="22" s="53" customFormat="1" ht="14.25" hidden="1" customHeight="1">
      <c r="L22" s="113"/>
      <c r="M22" s="61"/>
      <c r="N22" s="61"/>
      <c r="O22" s="480" t="s">
        <v>408</v>
      </c>
      <c r="P22" s="61"/>
      <c r="Q22" s="536"/>
      <c r="R22" s="536"/>
      <c r="S22" s="481"/>
      <c r="T22" s="53" t="s">
        <v>409</v>
      </c>
      <c r="AA22" s="150" t="s">
        <v>410</v>
      </c>
      <c r="AC22" s="150" t="s">
        <v>411</v>
      </c>
      <c r="AD22" s="53" t="s">
        <v>409</v>
      </c>
      <c r="AI22" s="150" t="s">
        <v>412</v>
      </c>
      <c r="AK22" s="150" t="s">
        <v>411</v>
      </c>
      <c r="AN22" s="57"/>
      <c r="AO22" s="57"/>
      <c r="AP22" s="57"/>
      <c r="AQ22" s="57"/>
      <c r="AR22" s="57"/>
    </row>
    <row r="23" ht="14.25" hidden="1" customHeight="1">
      <c r="O23" s="480"/>
    </row>
    <row r="24" ht="14.25" hidden="1" customHeight="1">
      <c r="O24" s="480"/>
    </row>
    <row r="25" ht="14.25" customHeight="1">
      <c r="Q25" s="537"/>
      <c r="R25" s="537"/>
      <c r="S25" s="538"/>
      <c r="T25" s="89"/>
      <c r="U25" s="89"/>
      <c r="V25" s="50"/>
      <c r="W25" s="50"/>
      <c r="X25" s="50"/>
      <c r="Y25" s="50"/>
      <c r="Z25" s="50"/>
      <c r="AA25" s="50"/>
      <c r="AB25" s="50"/>
      <c r="AC25" s="50"/>
      <c r="AD25" s="50"/>
      <c r="AE25" s="50"/>
      <c r="AF25" s="50"/>
      <c r="AG25" s="50"/>
      <c r="AH25" s="50"/>
      <c r="AI25" s="50"/>
      <c r="AJ25" s="50"/>
      <c r="AK25" s="50"/>
    </row>
    <row r="26" ht="51" customHeight="1">
      <c r="Q26" s="537"/>
      <c r="R26" s="537"/>
      <c r="S26" s="451"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51"/>
      <c r="U26" s="451"/>
      <c r="V26" s="451"/>
      <c r="W26" s="451"/>
      <c r="X26" s="451"/>
      <c r="Y26" s="451"/>
      <c r="Z26" s="451"/>
      <c r="AA26" s="451"/>
      <c r="AB26" s="451"/>
      <c r="AC26" s="451"/>
      <c r="AD26" s="451"/>
      <c r="AE26" s="451"/>
      <c r="AF26" s="451"/>
      <c r="AG26" s="451"/>
      <c r="AH26" s="451"/>
      <c r="AI26" s="451"/>
      <c r="AJ26" s="451"/>
      <c r="AK26" s="241"/>
    </row>
    <row r="27" ht="14.25" customHeight="1">
      <c r="Q27" s="537"/>
      <c r="R27" s="537"/>
      <c r="S27" s="302" t="str">
        <f>IF(org=0,"Не определено",org)</f>
        <v xml:space="preserve">филиал ПАО "ОГК-2" - Адлерская ТЭС</v>
      </c>
      <c r="T27" s="302"/>
      <c r="U27" s="302"/>
      <c r="V27" s="302"/>
      <c r="W27" s="302"/>
      <c r="X27" s="302"/>
      <c r="Y27" s="302"/>
      <c r="Z27" s="302"/>
      <c r="AA27" s="302"/>
      <c r="AB27" s="302"/>
      <c r="AC27" s="302"/>
      <c r="AD27" s="302"/>
      <c r="AE27" s="302"/>
      <c r="AF27" s="302"/>
      <c r="AG27" s="302"/>
      <c r="AH27" s="302"/>
      <c r="AI27" s="302"/>
      <c r="AJ27" s="302"/>
      <c r="AK27" s="241"/>
    </row>
    <row r="28" ht="14.25" hidden="1" customHeight="1">
      <c r="Q28" s="537"/>
      <c r="R28" s="537"/>
      <c r="S28" s="538"/>
      <c r="T28" s="89"/>
      <c r="U28" s="89"/>
      <c r="V28" s="539"/>
      <c r="W28" s="539"/>
      <c r="X28" s="539"/>
      <c r="Y28" s="539"/>
      <c r="Z28" s="539"/>
      <c r="AA28" s="539"/>
      <c r="AB28" s="539"/>
      <c r="AC28" s="539"/>
      <c r="AD28" s="539"/>
      <c r="AE28" s="539"/>
      <c r="AF28" s="539"/>
      <c r="AG28" s="539"/>
      <c r="AH28" s="539"/>
      <c r="AI28" s="539"/>
      <c r="AJ28" s="539"/>
      <c r="AK28" s="539"/>
      <c r="AL28" s="50"/>
    </row>
    <row r="29" s="185" customFormat="1" ht="25.5" hidden="1" customHeight="1">
      <c r="A29" s="150"/>
      <c r="B29" s="150"/>
      <c r="C29" s="150"/>
      <c r="D29" s="150"/>
      <c r="E29" s="150"/>
      <c r="F29" s="150"/>
      <c r="G29" s="150"/>
      <c r="H29" s="150"/>
      <c r="I29" s="150"/>
      <c r="J29" s="150"/>
      <c r="K29" s="150"/>
      <c r="L29" s="480"/>
      <c r="M29" s="150"/>
      <c r="N29" s="150"/>
      <c r="O29" s="150"/>
      <c r="S29" s="540" t="s">
        <v>38</v>
      </c>
      <c r="T29" s="540"/>
      <c r="U29" s="541"/>
      <c r="V29" s="542" t="str">
        <f>IF(TITLE_NAME_OR_PR_CHANGE="",IF(TITLE_NAME_OR_PR="","",TITLE_NAME_OR_PR),TITLE_NAME_OR_PR_CHANGE)</f>
        <v/>
      </c>
      <c r="W29" s="542"/>
      <c r="X29" s="542"/>
      <c r="Y29" s="542"/>
      <c r="Z29" s="542"/>
      <c r="AA29" s="542"/>
      <c r="AB29" s="542"/>
      <c r="AC29" s="50"/>
      <c r="AD29" s="542" t="str">
        <f>IF(TITLE_NAME_OR_PR_CHANGE="",IF(TITLE_NAME_OR_PR="","",TITLE_NAME_OR_PR),TITLE_NAME_OR_PR_CHANGE)</f>
        <v/>
      </c>
      <c r="AE29" s="542"/>
      <c r="AF29" s="542"/>
      <c r="AG29" s="542"/>
      <c r="AH29" s="542"/>
      <c r="AI29" s="542"/>
      <c r="AJ29" s="542"/>
      <c r="AK29" s="50"/>
      <c r="AL29" s="50"/>
      <c r="AM29" s="543"/>
      <c r="AN29" s="128"/>
      <c r="AO29" s="128"/>
      <c r="AP29" s="128"/>
      <c r="AQ29" s="128"/>
      <c r="AR29" s="128"/>
    </row>
    <row r="30" s="185" customFormat="1" ht="18.75" hidden="1" customHeight="1">
      <c r="A30" s="150"/>
      <c r="B30" s="150"/>
      <c r="C30" s="150"/>
      <c r="D30" s="150"/>
      <c r="E30" s="150"/>
      <c r="F30" s="150"/>
      <c r="G30" s="150"/>
      <c r="H30" s="150"/>
      <c r="I30" s="150"/>
      <c r="J30" s="150"/>
      <c r="K30" s="150"/>
      <c r="L30" s="480"/>
      <c r="M30" s="150"/>
      <c r="N30" s="150"/>
      <c r="O30" s="150"/>
      <c r="S30" s="540" t="s">
        <v>413</v>
      </c>
      <c r="T30" s="540"/>
      <c r="U30" s="541"/>
      <c r="V30" s="544" t="str">
        <f>IF(TITLE_DATE_PR_CHANGE="",IF(TITLE_DATE_PR="","",TITLE_DATE_PR),TITLE_DATE_PR_CHANGE)</f>
        <v/>
      </c>
      <c r="W30" s="544"/>
      <c r="X30" s="544"/>
      <c r="Y30" s="544"/>
      <c r="Z30" s="544"/>
      <c r="AA30" s="544"/>
      <c r="AB30" s="544"/>
      <c r="AC30" s="50"/>
      <c r="AD30" s="544" t="str">
        <f>IF(TITLE_DATE_PR_CHANGE="",IF(TITLE_DATE_PR="","",TITLE_DATE_PR),TITLE_DATE_PR_CHANGE)</f>
        <v/>
      </c>
      <c r="AE30" s="544"/>
      <c r="AF30" s="544"/>
      <c r="AG30" s="544"/>
      <c r="AH30" s="544"/>
      <c r="AI30" s="544"/>
      <c r="AJ30" s="544"/>
      <c r="AK30" s="50"/>
      <c r="AL30" s="50"/>
      <c r="AM30" s="543"/>
      <c r="AN30" s="128"/>
      <c r="AO30" s="128"/>
      <c r="AP30" s="128"/>
      <c r="AQ30" s="128"/>
      <c r="AR30" s="128"/>
    </row>
    <row r="31" s="185" customFormat="1" ht="18.75" hidden="1" customHeight="1">
      <c r="A31" s="150"/>
      <c r="B31" s="150"/>
      <c r="C31" s="150"/>
      <c r="D31" s="150"/>
      <c r="E31" s="150"/>
      <c r="F31" s="150"/>
      <c r="G31" s="150"/>
      <c r="H31" s="150"/>
      <c r="I31" s="150"/>
      <c r="J31" s="150"/>
      <c r="K31" s="150"/>
      <c r="L31" s="480"/>
      <c r="M31" s="150"/>
      <c r="N31" s="150"/>
      <c r="O31" s="150"/>
      <c r="S31" s="540" t="s">
        <v>414</v>
      </c>
      <c r="T31" s="540"/>
      <c r="U31" s="541"/>
      <c r="V31" s="542" t="str">
        <f>IF(TITLE_NUMBER_PR_CHANGE="",IF(TITLE_NUMBER_PR="","",TITLE_NUMBER_PR),TITLE_NUMBER_PR_CHANGE)</f>
        <v/>
      </c>
      <c r="W31" s="542"/>
      <c r="X31" s="542"/>
      <c r="Y31" s="542"/>
      <c r="Z31" s="542"/>
      <c r="AA31" s="542"/>
      <c r="AB31" s="542"/>
      <c r="AC31" s="50"/>
      <c r="AD31" s="542" t="str">
        <f>IF(TITLE_NUMBER_PR_CHANGE="",IF(TITLE_NUMBER_PR="","",TITLE_NUMBER_PR),TITLE_NUMBER_PR_CHANGE)</f>
        <v/>
      </c>
      <c r="AE31" s="542"/>
      <c r="AF31" s="542"/>
      <c r="AG31" s="542"/>
      <c r="AH31" s="542"/>
      <c r="AI31" s="542"/>
      <c r="AJ31" s="542"/>
      <c r="AK31" s="50"/>
      <c r="AL31" s="50"/>
      <c r="AM31" s="543"/>
      <c r="AN31" s="128"/>
      <c r="AO31" s="128"/>
      <c r="AP31" s="128"/>
      <c r="AQ31" s="128"/>
      <c r="AR31" s="128"/>
    </row>
    <row r="32" s="185" customFormat="1" ht="18.75" hidden="1" customHeight="1">
      <c r="A32" s="150"/>
      <c r="B32" s="150"/>
      <c r="C32" s="150"/>
      <c r="D32" s="150"/>
      <c r="E32" s="150"/>
      <c r="F32" s="150"/>
      <c r="G32" s="150"/>
      <c r="H32" s="150"/>
      <c r="I32" s="150"/>
      <c r="J32" s="150"/>
      <c r="K32" s="150"/>
      <c r="L32" s="480"/>
      <c r="M32" s="150"/>
      <c r="N32" s="150"/>
      <c r="O32" s="150"/>
      <c r="S32" s="540" t="s">
        <v>39</v>
      </c>
      <c r="T32" s="540"/>
      <c r="U32" s="541"/>
      <c r="V32" s="542" t="str">
        <f>IF(TITLE_IST_PUB_CHANGE="",IF(TITLE_IST_PUB="","",TITLE_IST_PUB),TITLE_IST_PUB_CHANGE)</f>
        <v/>
      </c>
      <c r="W32" s="542"/>
      <c r="X32" s="542"/>
      <c r="Y32" s="542"/>
      <c r="Z32" s="542"/>
      <c r="AA32" s="542"/>
      <c r="AB32" s="542"/>
      <c r="AC32" s="50"/>
      <c r="AD32" s="542" t="str">
        <f>IF(TITLE_IST_PUB_CHANGE="",IF(TITLE_IST_PUB="","",TITLE_IST_PUB),TITLE_IST_PUB_CHANGE)</f>
        <v/>
      </c>
      <c r="AE32" s="542"/>
      <c r="AF32" s="542"/>
      <c r="AG32" s="542"/>
      <c r="AH32" s="542"/>
      <c r="AI32" s="542"/>
      <c r="AJ32" s="542"/>
      <c r="AK32" s="50"/>
      <c r="AL32" s="50"/>
      <c r="AM32" s="543"/>
      <c r="AN32" s="128"/>
      <c r="AO32" s="128"/>
      <c r="AP32" s="128"/>
      <c r="AQ32" s="128"/>
      <c r="AR32" s="128"/>
    </row>
    <row r="33" ht="14.25" hidden="1" customHeight="1">
      <c r="Q33" s="537"/>
      <c r="R33" s="537"/>
      <c r="S33" s="538"/>
      <c r="T33" s="89"/>
      <c r="U33" s="89"/>
      <c r="V33" s="539"/>
      <c r="W33" s="539"/>
      <c r="X33" s="539"/>
      <c r="Y33" s="539"/>
      <c r="Z33" s="539"/>
      <c r="AA33" s="539"/>
      <c r="AB33" s="539"/>
      <c r="AC33" s="539"/>
      <c r="AD33" s="539"/>
      <c r="AE33" s="539"/>
      <c r="AF33" s="539"/>
      <c r="AG33" s="539"/>
      <c r="AH33" s="539"/>
      <c r="AI33" s="539"/>
      <c r="AJ33" s="539"/>
      <c r="AK33" s="539"/>
      <c r="AL33" s="50"/>
    </row>
    <row r="34" s="185" customFormat="1" ht="18.75" hidden="1" customHeight="1">
      <c r="A34" s="150"/>
      <c r="B34" s="150"/>
      <c r="C34" s="150"/>
      <c r="D34" s="150"/>
      <c r="E34" s="150"/>
      <c r="F34" s="150"/>
      <c r="G34" s="150"/>
      <c r="H34" s="150"/>
      <c r="I34" s="150"/>
      <c r="J34" s="150"/>
      <c r="K34" s="150"/>
      <c r="L34" s="480"/>
      <c r="M34" s="150"/>
      <c r="N34" s="150"/>
      <c r="O34" s="150"/>
      <c r="S34" s="540" t="s">
        <v>415</v>
      </c>
      <c r="T34" s="540"/>
      <c r="U34" s="541"/>
      <c r="V34" s="544" t="str">
        <f>IF(TITLE_DATE_PR_CHANGE="",IF(TITLE_DATE_PR="","",TITLE_DATE_PR),TITLE_DATE_PR_CHANGE)</f>
        <v/>
      </c>
      <c r="W34" s="544"/>
      <c r="X34" s="544"/>
      <c r="Y34" s="544"/>
      <c r="Z34" s="544"/>
      <c r="AA34" s="544"/>
      <c r="AB34" s="544"/>
      <c r="AC34" s="50"/>
      <c r="AD34" s="544" t="str">
        <f>IF(TITLE_DATE_PR_CHANGE="",IF(TITLE_DATE_PR="","",TITLE_DATE_PR),TITLE_DATE_PR_CHANGE)</f>
        <v/>
      </c>
      <c r="AE34" s="544"/>
      <c r="AF34" s="544"/>
      <c r="AG34" s="544"/>
      <c r="AH34" s="544"/>
      <c r="AI34" s="544"/>
      <c r="AJ34" s="544"/>
      <c r="AK34" s="50"/>
      <c r="AL34" s="50"/>
      <c r="AM34" s="543"/>
      <c r="AN34" s="128"/>
      <c r="AO34" s="128"/>
      <c r="AP34" s="128"/>
      <c r="AQ34" s="128"/>
      <c r="AR34" s="128"/>
    </row>
    <row r="35" s="185" customFormat="1" ht="25.5" hidden="1" customHeight="1">
      <c r="A35" s="150"/>
      <c r="B35" s="150"/>
      <c r="C35" s="150"/>
      <c r="D35" s="150"/>
      <c r="E35" s="150"/>
      <c r="F35" s="150"/>
      <c r="G35" s="150"/>
      <c r="H35" s="150"/>
      <c r="I35" s="150"/>
      <c r="J35" s="150"/>
      <c r="K35" s="150"/>
      <c r="L35" s="480"/>
      <c r="M35" s="150"/>
      <c r="N35" s="150"/>
      <c r="O35" s="150"/>
      <c r="S35" s="540" t="s">
        <v>416</v>
      </c>
      <c r="T35" s="540"/>
      <c r="U35" s="541"/>
      <c r="V35" s="542" t="str">
        <f>IF(TITLE_NUMBER_PR_CHANGE="",IF(TITLE_NUMBER_PR="","",TITLE_NUMBER_PR),TITLE_NUMBER_PR_CHANGE)</f>
        <v/>
      </c>
      <c r="W35" s="542"/>
      <c r="X35" s="542"/>
      <c r="Y35" s="542"/>
      <c r="Z35" s="542"/>
      <c r="AA35" s="542"/>
      <c r="AB35" s="542"/>
      <c r="AC35" s="50"/>
      <c r="AD35" s="542" t="str">
        <f>IF(TITLE_NUMBER_PR_CHANGE="",IF(TITLE_NUMBER_PR="","",TITLE_NUMBER_PR),TITLE_NUMBER_PR_CHANGE)</f>
        <v/>
      </c>
      <c r="AE35" s="542"/>
      <c r="AF35" s="542"/>
      <c r="AG35" s="542"/>
      <c r="AH35" s="542"/>
      <c r="AI35" s="542"/>
      <c r="AJ35" s="542"/>
      <c r="AK35" s="50"/>
      <c r="AL35" s="50"/>
      <c r="AM35" s="543"/>
      <c r="AN35" s="128"/>
      <c r="AO35" s="128"/>
      <c r="AP35" s="128"/>
      <c r="AQ35" s="128"/>
      <c r="AR35" s="128"/>
    </row>
    <row r="36" s="185" customFormat="1" ht="0" customHeight="1">
      <c r="A36" s="150"/>
      <c r="B36" s="150"/>
      <c r="C36" s="150"/>
      <c r="D36" s="150"/>
      <c r="E36" s="150"/>
      <c r="F36" s="150"/>
      <c r="G36" s="150"/>
      <c r="H36" s="150"/>
      <c r="I36" s="150"/>
      <c r="J36" s="150"/>
      <c r="K36" s="150"/>
      <c r="L36" s="480"/>
      <c r="M36" s="150"/>
      <c r="N36" s="150"/>
      <c r="O36" s="150"/>
      <c r="S36" s="50"/>
      <c r="T36" s="50"/>
      <c r="U36" s="139"/>
      <c r="V36" s="50"/>
      <c r="W36" s="50"/>
      <c r="X36" s="50"/>
      <c r="Y36" s="50"/>
      <c r="Z36" s="50"/>
      <c r="AA36" s="50"/>
      <c r="AB36" s="50"/>
      <c r="AC36" s="57" t="s">
        <v>417</v>
      </c>
      <c r="AD36" s="50"/>
      <c r="AE36" s="50"/>
      <c r="AF36" s="50"/>
      <c r="AG36" s="50"/>
      <c r="AH36" s="50"/>
      <c r="AI36" s="50"/>
      <c r="AJ36" s="50"/>
      <c r="AK36" s="57" t="s">
        <v>417</v>
      </c>
      <c r="AN36" s="128"/>
      <c r="AO36" s="128"/>
      <c r="AP36" s="128"/>
      <c r="AQ36" s="128"/>
      <c r="AR36" s="128"/>
    </row>
    <row r="37" ht="14.25" customHeight="1">
      <c r="Q37" s="537"/>
      <c r="R37" s="537"/>
      <c r="S37" s="538"/>
      <c r="T37" s="89"/>
      <c r="U37" s="545"/>
      <c r="V37" s="546"/>
      <c r="W37" s="546"/>
      <c r="X37" s="546"/>
      <c r="Y37" s="546"/>
      <c r="Z37" s="546"/>
      <c r="AA37" s="546"/>
      <c r="AB37" s="546"/>
      <c r="AC37" s="546"/>
      <c r="AD37" s="546"/>
      <c r="AE37" s="546"/>
      <c r="AF37" s="546"/>
      <c r="AG37" s="546"/>
      <c r="AH37" s="546"/>
      <c r="AI37" s="546"/>
      <c r="AJ37" s="546"/>
      <c r="AK37" s="546"/>
    </row>
    <row r="38" ht="14.25" customHeight="1">
      <c r="Q38" s="537"/>
      <c r="R38" s="537"/>
      <c r="S38" s="156" t="s">
        <v>288</v>
      </c>
      <c r="T38" s="156"/>
      <c r="U38" s="156"/>
      <c r="V38" s="156"/>
      <c r="W38" s="156"/>
      <c r="X38" s="156"/>
      <c r="Y38" s="156"/>
      <c r="Z38" s="156"/>
      <c r="AA38" s="156"/>
      <c r="AB38" s="156"/>
      <c r="AC38" s="156"/>
      <c r="AD38" s="156"/>
      <c r="AE38" s="156"/>
      <c r="AF38" s="156"/>
      <c r="AG38" s="156"/>
      <c r="AH38" s="156"/>
      <c r="AI38" s="156"/>
      <c r="AJ38" s="156"/>
      <c r="AK38" s="156"/>
      <c r="AL38" s="156"/>
      <c r="AM38" s="156" t="s">
        <v>289</v>
      </c>
    </row>
    <row r="39" ht="14.25" customHeight="1">
      <c r="Q39" s="537"/>
      <c r="R39" s="537"/>
      <c r="S39" s="483" t="s">
        <v>85</v>
      </c>
      <c r="T39" s="347" t="s">
        <v>418</v>
      </c>
      <c r="U39" s="547"/>
      <c r="V39" s="548" t="s">
        <v>419</v>
      </c>
      <c r="W39" s="549"/>
      <c r="X39" s="549"/>
      <c r="Y39" s="549"/>
      <c r="Z39" s="549"/>
      <c r="AA39" s="549"/>
      <c r="AB39" s="550"/>
      <c r="AC39" s="551" t="s">
        <v>420</v>
      </c>
      <c r="AD39" s="548" t="s">
        <v>419</v>
      </c>
      <c r="AE39" s="549"/>
      <c r="AF39" s="549"/>
      <c r="AG39" s="549"/>
      <c r="AH39" s="549"/>
      <c r="AI39" s="549"/>
      <c r="AJ39" s="550"/>
      <c r="AK39" s="551" t="s">
        <v>421</v>
      </c>
      <c r="AL39" s="552" t="s">
        <v>422</v>
      </c>
      <c r="AM39" s="156"/>
    </row>
    <row r="40" ht="33.75" customHeight="1">
      <c r="Q40" s="537"/>
      <c r="R40" s="537"/>
      <c r="S40" s="483"/>
      <c r="T40" s="347"/>
      <c r="U40" s="553"/>
      <c r="V40" s="306" t="s">
        <v>423</v>
      </c>
      <c r="W40" s="554"/>
      <c r="X40" s="73" t="s">
        <v>425</v>
      </c>
      <c r="Y40" s="72"/>
      <c r="Z40" s="73" t="s">
        <v>426</v>
      </c>
      <c r="AA40" s="144"/>
      <c r="AB40" s="72"/>
      <c r="AC40" s="555"/>
      <c r="AD40" s="306" t="s">
        <v>423</v>
      </c>
      <c r="AE40" s="554"/>
      <c r="AF40" s="73" t="s">
        <v>425</v>
      </c>
      <c r="AG40" s="72"/>
      <c r="AH40" s="73" t="s">
        <v>426</v>
      </c>
      <c r="AI40" s="144"/>
      <c r="AJ40" s="72"/>
      <c r="AK40" s="555"/>
      <c r="AL40" s="556"/>
      <c r="AM40" s="156"/>
    </row>
    <row r="41" ht="33.75" customHeight="1">
      <c r="A41" s="150"/>
      <c r="B41" s="150" t="s">
        <v>137</v>
      </c>
      <c r="C41" s="150" t="s">
        <v>138</v>
      </c>
      <c r="D41" s="150" t="s">
        <v>139</v>
      </c>
      <c r="E41" s="480" t="s">
        <v>427</v>
      </c>
      <c r="F41" s="480" t="s">
        <v>428</v>
      </c>
      <c r="G41" s="480" t="s">
        <v>429</v>
      </c>
      <c r="H41" s="480" t="s">
        <v>430</v>
      </c>
      <c r="I41" s="480" t="s">
        <v>431</v>
      </c>
      <c r="J41" s="480" t="s">
        <v>432</v>
      </c>
      <c r="K41" s="480" t="s">
        <v>433</v>
      </c>
      <c r="L41" s="480" t="s">
        <v>408</v>
      </c>
      <c r="Q41" s="537"/>
      <c r="R41" s="537"/>
      <c r="S41" s="483"/>
      <c r="T41" s="347"/>
      <c r="U41" s="557"/>
      <c r="V41" s="161"/>
      <c r="W41" s="558"/>
      <c r="X41" s="247" t="s">
        <v>434</v>
      </c>
      <c r="Y41" s="247" t="s">
        <v>435</v>
      </c>
      <c r="Z41" s="247" t="s">
        <v>436</v>
      </c>
      <c r="AA41" s="414" t="s">
        <v>437</v>
      </c>
      <c r="AB41" s="416"/>
      <c r="AC41" s="559"/>
      <c r="AD41" s="161"/>
      <c r="AE41" s="558"/>
      <c r="AF41" s="247" t="s">
        <v>434</v>
      </c>
      <c r="AG41" s="247" t="s">
        <v>435</v>
      </c>
      <c r="AH41" s="247" t="s">
        <v>436</v>
      </c>
      <c r="AI41" s="414" t="s">
        <v>437</v>
      </c>
      <c r="AJ41" s="416"/>
      <c r="AK41" s="559"/>
      <c r="AL41" s="560"/>
      <c r="AM41" s="156"/>
    </row>
    <row r="42" s="130" customFormat="1" ht="11.25" hidden="1" customHeight="1">
      <c r="A42" s="150"/>
      <c r="B42" s="150"/>
      <c r="C42" s="150"/>
      <c r="D42" s="150"/>
      <c r="E42" s="150"/>
      <c r="F42" s="150"/>
      <c r="G42" s="150"/>
      <c r="H42" s="150"/>
      <c r="I42" s="150"/>
      <c r="J42" s="150"/>
      <c r="K42" s="150"/>
      <c r="L42" s="480"/>
      <c r="M42" s="61"/>
      <c r="N42" s="61"/>
      <c r="O42" s="61"/>
      <c r="P42" s="561"/>
      <c r="Q42" s="562"/>
      <c r="R42" s="563">
        <v>1</v>
      </c>
      <c r="S42" s="564" t="s">
        <v>111</v>
      </c>
      <c r="T42" s="565" t="s">
        <v>99</v>
      </c>
      <c r="U42" s="566" t="str">
        <f ca="1">OFFSET(U42,0,-1)</f>
        <v>2</v>
      </c>
      <c r="V42" s="567">
        <f ca="1">OFFSET(V42,0,-1)+1</f>
        <v>3</v>
      </c>
      <c r="W42" s="567"/>
      <c r="X42" s="567">
        <f ca="1">OFFSET(X42,0,-1)+1</f>
        <v>1</v>
      </c>
      <c r="Y42" s="567">
        <f ca="1">OFFSET(Y42,0,-1)+1</f>
        <v>2</v>
      </c>
      <c r="Z42" s="567">
        <f ca="1">OFFSET(Z42,0,-1)+1</f>
        <v>3</v>
      </c>
      <c r="AA42" s="567">
        <f ca="1">OFFSET(AA42,0,-1)+1</f>
        <v>4</v>
      </c>
      <c r="AB42" s="567"/>
      <c r="AC42" s="567">
        <f ca="1">OFFSET(AC42,0,-2)+1</f>
        <v>5</v>
      </c>
      <c r="AD42" s="567">
        <f ca="1">OFFSET(AD42,0,-1)+1</f>
        <v>6</v>
      </c>
      <c r="AE42" s="567"/>
      <c r="AF42" s="567">
        <f ca="1">OFFSET(AF42,0,-1)+1</f>
        <v>1</v>
      </c>
      <c r="AG42" s="567">
        <f ca="1">OFFSET(AG42,0,-1)+1</f>
        <v>2</v>
      </c>
      <c r="AH42" s="567">
        <f ca="1">OFFSET(AH42,0,-1)+1</f>
        <v>3</v>
      </c>
      <c r="AI42" s="567">
        <f ca="1">OFFSET(AI42,0,-1)+1</f>
        <v>4</v>
      </c>
      <c r="AJ42" s="567"/>
      <c r="AK42" s="567">
        <f ca="1">OFFSET(AK42,0,-2)+1</f>
        <v>5</v>
      </c>
      <c r="AL42" s="566">
        <f ca="1">OFFSET(AL42,0,-1)</f>
        <v>5</v>
      </c>
      <c r="AM42" s="567">
        <f ca="1">OFFSET(AM42,0,-1)+1</f>
        <v>6</v>
      </c>
      <c r="AN42" s="57"/>
      <c r="AO42" s="57"/>
      <c r="AP42" s="57"/>
      <c r="AQ42" s="57"/>
      <c r="AR42" s="57"/>
    </row>
    <row r="43" ht="21" customHeight="1">
      <c r="A43" s="478" t="s">
        <v>188</v>
      </c>
      <c r="B43" s="478"/>
      <c r="C43" s="478"/>
      <c r="D43" s="478"/>
      <c r="E43" s="479">
        <v>1</v>
      </c>
      <c r="F43" s="478"/>
      <c r="G43" s="478"/>
      <c r="H43" s="478"/>
      <c r="I43" s="478"/>
      <c r="J43" s="478"/>
      <c r="K43" s="478"/>
      <c r="L43" s="480"/>
      <c r="M43" s="481"/>
      <c r="N43" s="481"/>
      <c r="O43" s="481"/>
      <c r="P43" s="60"/>
      <c r="Q43" s="142"/>
      <c r="R43" s="482"/>
      <c r="S43" s="483">
        <f>INDEX(PT_DIFFERENTIATION_NUM_NTAR,MATCH(A43,PT_DIFFERENTIATION_NTAR_ID,0))</f>
        <v>0</v>
      </c>
      <c r="T43" s="484" t="s">
        <v>125</v>
      </c>
      <c r="U43" s="485"/>
      <c r="V43" s="486"/>
      <c r="W43" s="487"/>
      <c r="X43" s="487"/>
      <c r="Y43" s="487"/>
      <c r="Z43" s="487"/>
      <c r="AA43" s="487"/>
      <c r="AB43" s="487"/>
      <c r="AC43" s="488"/>
      <c r="AD43" s="486" t="str">
        <f>INDEX(PT_DIFFERENTIATION_NTAR,MATCH(A43,PT_DIFFERENTIATION_NTAR_ID,0))</f>
        <v/>
      </c>
      <c r="AE43" s="487"/>
      <c r="AF43" s="487"/>
      <c r="AG43" s="487"/>
      <c r="AH43" s="487"/>
      <c r="AI43" s="487"/>
      <c r="AJ43" s="487"/>
      <c r="AK43" s="487"/>
      <c r="AL43" s="488"/>
      <c r="AM43" s="48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8"/>
      <c r="AP43" s="128" t="str">
        <f t="shared" si="14"/>
        <v xml:space="preserve">Наименование тарифа</v>
      </c>
      <c r="AQ43" s="128"/>
      <c r="AR43" s="128"/>
    </row>
    <row r="44" ht="21" customHeight="1">
      <c r="A44" s="478" t="s">
        <v>188</v>
      </c>
      <c r="B44" s="478" t="s">
        <v>189</v>
      </c>
      <c r="C44" s="478"/>
      <c r="D44" s="478"/>
      <c r="E44" s="490"/>
      <c r="F44" s="479">
        <v>1</v>
      </c>
      <c r="G44" s="478"/>
      <c r="H44" s="478"/>
      <c r="I44" s="478"/>
      <c r="J44" s="478"/>
      <c r="K44" s="478"/>
      <c r="L44" s="480"/>
      <c r="M44" s="481"/>
      <c r="N44" s="481"/>
      <c r="O44" s="481"/>
      <c r="P44" s="51"/>
      <c r="Q44" s="491"/>
      <c r="R44" s="492"/>
      <c r="S44" s="483" t="str">
        <f>INDEX(PT_DIFFERENTIATION_NUM_TER,MATCH(B44,PT_DIFFERENTIATION_TER_ID,0))</f>
        <v>.</v>
      </c>
      <c r="T44" s="493" t="s">
        <v>387</v>
      </c>
      <c r="U44" s="485"/>
      <c r="V44" s="486"/>
      <c r="W44" s="487"/>
      <c r="X44" s="487"/>
      <c r="Y44" s="487"/>
      <c r="Z44" s="487"/>
      <c r="AA44" s="487"/>
      <c r="AB44" s="487"/>
      <c r="AC44" s="488"/>
      <c r="AD44" s="486" t="str">
        <f>INDEX(PT_DIFFERENTIATION_TER,MATCH(B44,PT_DIFFERENTIATION_TER_ID,0))</f>
        <v/>
      </c>
      <c r="AE44" s="487"/>
      <c r="AF44" s="487"/>
      <c r="AG44" s="487"/>
      <c r="AH44" s="487"/>
      <c r="AI44" s="487"/>
      <c r="AJ44" s="487"/>
      <c r="AK44" s="487"/>
      <c r="AL44" s="488"/>
      <c r="AM44" s="489" t="s">
        <v>388</v>
      </c>
      <c r="AO44" s="128"/>
      <c r="AP44" s="128" t="str">
        <f t="shared" si="14"/>
        <v xml:space="preserve">Территория действия тарифа</v>
      </c>
      <c r="AQ44" s="128"/>
      <c r="AR44" s="128"/>
    </row>
    <row r="45" ht="23.25" customHeight="1">
      <c r="A45" s="478" t="s">
        <v>188</v>
      </c>
      <c r="B45" s="478" t="s">
        <v>189</v>
      </c>
      <c r="C45" s="478" t="s">
        <v>190</v>
      </c>
      <c r="D45" s="478"/>
      <c r="E45" s="490"/>
      <c r="F45" s="490"/>
      <c r="G45" s="479">
        <v>1</v>
      </c>
      <c r="H45" s="478"/>
      <c r="I45" s="478"/>
      <c r="J45" s="478"/>
      <c r="K45" s="478"/>
      <c r="L45" s="480"/>
      <c r="M45" s="481"/>
      <c r="N45" s="481"/>
      <c r="O45" s="481"/>
      <c r="P45" s="494"/>
      <c r="Q45" s="491"/>
      <c r="R45" s="492"/>
      <c r="S45" s="483" t="str">
        <f>INDEX(PT_DIFFERENTIATION_NUM_CS,MATCH(C45,PT_DIFFERENTIATION_CS_ID,0))</f>
        <v>..</v>
      </c>
      <c r="T45" s="495" t="s">
        <v>389</v>
      </c>
      <c r="U45" s="485"/>
      <c r="V45" s="486"/>
      <c r="W45" s="487"/>
      <c r="X45" s="487"/>
      <c r="Y45" s="487"/>
      <c r="Z45" s="487"/>
      <c r="AA45" s="487"/>
      <c r="AB45" s="487"/>
      <c r="AC45" s="488"/>
      <c r="AD45" s="486" t="str">
        <f>INDEX(PT_DIFFERENTIATION_CS,MATCH(C45,PT_DIFFERENTIATION_CS_ID,0))</f>
        <v/>
      </c>
      <c r="AE45" s="487"/>
      <c r="AF45" s="487"/>
      <c r="AG45" s="487"/>
      <c r="AH45" s="487"/>
      <c r="AI45" s="487"/>
      <c r="AJ45" s="487"/>
      <c r="AK45" s="487"/>
      <c r="AL45" s="488"/>
      <c r="AM45" s="489" t="s">
        <v>390</v>
      </c>
      <c r="AO45" s="128"/>
      <c r="AP45" s="128" t="str">
        <f t="shared" si="14"/>
        <v xml:space="preserve">Наименование системы теплоснабжения</v>
      </c>
      <c r="AQ45" s="128"/>
      <c r="AR45" s="128"/>
    </row>
    <row r="46" ht="21" customHeight="1">
      <c r="A46" s="478" t="s">
        <v>188</v>
      </c>
      <c r="B46" s="478" t="s">
        <v>189</v>
      </c>
      <c r="C46" s="478" t="s">
        <v>190</v>
      </c>
      <c r="D46" s="478" t="s">
        <v>191</v>
      </c>
      <c r="E46" s="490"/>
      <c r="F46" s="490"/>
      <c r="G46" s="490"/>
      <c r="H46" s="479">
        <v>1</v>
      </c>
      <c r="I46" s="478"/>
      <c r="J46" s="478"/>
      <c r="K46" s="478"/>
      <c r="L46" s="480"/>
      <c r="M46" s="481"/>
      <c r="N46" s="481"/>
      <c r="O46" s="481"/>
      <c r="P46" s="494"/>
      <c r="Q46" s="491"/>
      <c r="R46" s="492"/>
      <c r="S46" s="483" t="str">
        <f>INDEX(PT_DIFFERENTIATION_NUM_IST_TE,MATCH(D46,PT_DIFFERENTIATION_IST_TE_ID,0))</f>
        <v>...</v>
      </c>
      <c r="T46" s="496" t="s">
        <v>391</v>
      </c>
      <c r="U46" s="485"/>
      <c r="V46" s="486"/>
      <c r="W46" s="487"/>
      <c r="X46" s="487"/>
      <c r="Y46" s="487"/>
      <c r="Z46" s="487"/>
      <c r="AA46" s="487"/>
      <c r="AB46" s="487"/>
      <c r="AC46" s="488"/>
      <c r="AD46" s="486" t="str">
        <f>INDEX(PT_DIFFERENTIATION_IST_TE,MATCH(D46,PT_DIFFERENTIATION_IST_TE_ID,0))</f>
        <v/>
      </c>
      <c r="AE46" s="487"/>
      <c r="AF46" s="487"/>
      <c r="AG46" s="487"/>
      <c r="AH46" s="487"/>
      <c r="AI46" s="487"/>
      <c r="AJ46" s="487"/>
      <c r="AK46" s="487"/>
      <c r="AL46" s="488"/>
      <c r="AM46" s="489" t="s">
        <v>392</v>
      </c>
      <c r="AO46" s="128"/>
      <c r="AP46" s="128" t="str">
        <f t="shared" si="14"/>
        <v xml:space="preserve">Источник тепловой энергии</v>
      </c>
      <c r="AQ46" s="128"/>
      <c r="AR46" s="128"/>
    </row>
    <row r="47" s="57" customFormat="1" ht="0" customHeight="1">
      <c r="A47" s="132" t="s">
        <v>188</v>
      </c>
      <c r="B47" s="132" t="s">
        <v>189</v>
      </c>
      <c r="C47" s="132" t="s">
        <v>190</v>
      </c>
      <c r="D47" s="132" t="s">
        <v>191</v>
      </c>
      <c r="E47" s="490"/>
      <c r="F47" s="490"/>
      <c r="G47" s="490"/>
      <c r="H47" s="490"/>
      <c r="I47" s="167" t="str">
        <f>S46&amp;".1"</f>
        <v>....1</v>
      </c>
      <c r="J47" s="132"/>
      <c r="K47" s="132"/>
      <c r="L47" s="213" t="s">
        <v>393</v>
      </c>
      <c r="M47" s="586"/>
      <c r="N47" s="586"/>
      <c r="O47" s="586"/>
      <c r="P47" s="131">
        <v>1</v>
      </c>
      <c r="Q47" s="131"/>
      <c r="R47" s="497"/>
      <c r="S47" s="351"/>
      <c r="T47" s="576"/>
      <c r="U47" s="577"/>
      <c r="V47" s="578"/>
      <c r="W47" s="579"/>
      <c r="X47" s="579"/>
      <c r="Y47" s="579"/>
      <c r="Z47" s="579"/>
      <c r="AA47" s="579"/>
      <c r="AB47" s="579"/>
      <c r="AC47" s="580"/>
      <c r="AD47" s="578"/>
      <c r="AE47" s="579"/>
      <c r="AF47" s="579"/>
      <c r="AG47" s="579"/>
      <c r="AH47" s="579"/>
      <c r="AI47" s="579"/>
      <c r="AJ47" s="579"/>
      <c r="AK47" s="579"/>
      <c r="AL47" s="580"/>
      <c r="AM47" s="581"/>
      <c r="AO47" s="128"/>
      <c r="AP47" s="128" t="str">
        <f t="shared" si="14"/>
        <v/>
      </c>
      <c r="AQ47" s="128"/>
      <c r="AR47" s="128"/>
    </row>
    <row r="48" ht="21" customHeight="1">
      <c r="A48" s="478" t="s">
        <v>188</v>
      </c>
      <c r="B48" s="478" t="s">
        <v>189</v>
      </c>
      <c r="C48" s="478" t="s">
        <v>190</v>
      </c>
      <c r="D48" s="478" t="s">
        <v>191</v>
      </c>
      <c r="E48" s="490"/>
      <c r="F48" s="490"/>
      <c r="G48" s="490"/>
      <c r="H48" s="490"/>
      <c r="I48" s="501"/>
      <c r="J48" s="167" t="str">
        <f>S46&amp;".1"</f>
        <v>....1</v>
      </c>
      <c r="K48" s="478"/>
      <c r="L48" s="480" t="s">
        <v>396</v>
      </c>
      <c r="P48" s="131"/>
      <c r="Q48" s="131">
        <v>1</v>
      </c>
      <c r="R48" s="502"/>
      <c r="S48" s="483" t="str">
        <f>$J48</f>
        <v>....1</v>
      </c>
      <c r="T48" s="503" t="s">
        <v>397</v>
      </c>
      <c r="U48" s="485"/>
      <c r="V48" s="430"/>
      <c r="W48" s="499"/>
      <c r="X48" s="499"/>
      <c r="Y48" s="499"/>
      <c r="Z48" s="499"/>
      <c r="AA48" s="499"/>
      <c r="AB48" s="499"/>
      <c r="AC48" s="500"/>
      <c r="AD48" s="430"/>
      <c r="AE48" s="499"/>
      <c r="AF48" s="499"/>
      <c r="AG48" s="499"/>
      <c r="AH48" s="499"/>
      <c r="AI48" s="499"/>
      <c r="AJ48" s="499"/>
      <c r="AK48" s="499"/>
      <c r="AL48" s="500"/>
      <c r="AM48" s="489" t="s">
        <v>398</v>
      </c>
      <c r="AO48" s="128"/>
      <c r="AP48" s="128" t="str">
        <f t="shared" si="14"/>
        <v xml:space="preserve">Группа потребителей</v>
      </c>
      <c r="AQ48" s="128"/>
      <c r="AR48" s="128"/>
    </row>
    <row r="49" ht="21" customHeight="1">
      <c r="A49" s="478" t="s">
        <v>188</v>
      </c>
      <c r="B49" s="478" t="s">
        <v>189</v>
      </c>
      <c r="C49" s="478" t="s">
        <v>190</v>
      </c>
      <c r="D49" s="478" t="s">
        <v>191</v>
      </c>
      <c r="E49" s="490"/>
      <c r="F49" s="490"/>
      <c r="G49" s="490"/>
      <c r="H49" s="490"/>
      <c r="I49" s="501"/>
      <c r="J49" s="501"/>
      <c r="K49" s="167" t="str">
        <f>J48&amp;".1"</f>
        <v>....1.1</v>
      </c>
      <c r="L49" s="480" t="s">
        <v>399</v>
      </c>
      <c r="P49" s="131"/>
      <c r="Q49" s="131"/>
      <c r="R49" s="502">
        <v>1</v>
      </c>
      <c r="S49" s="483" t="str">
        <f>$K49</f>
        <v>....1.1</v>
      </c>
      <c r="T49" s="504"/>
      <c r="U49" s="485"/>
      <c r="V49" s="505"/>
      <c r="W49" s="506"/>
      <c r="X49" s="505"/>
      <c r="Y49" s="507"/>
      <c r="Z49" s="508"/>
      <c r="AA49" s="225" t="s">
        <v>56</v>
      </c>
      <c r="AB49" s="508"/>
      <c r="AC49" s="225" t="s">
        <v>56</v>
      </c>
      <c r="AD49" s="505"/>
      <c r="AE49" s="506"/>
      <c r="AF49" s="505"/>
      <c r="AG49" s="507"/>
      <c r="AH49" s="508"/>
      <c r="AI49" s="225" t="s">
        <v>56</v>
      </c>
      <c r="AJ49" s="568"/>
      <c r="AK49" s="225" t="s">
        <v>56</v>
      </c>
      <c r="AL49" s="569"/>
      <c r="AM49" s="509" t="s">
        <v>440</v>
      </c>
      <c r="AN49" s="57" t="e">
        <f>STRCHECKDATE(V50:AL50)</f>
        <v>#NAME?</v>
      </c>
      <c r="AO49" s="128"/>
      <c r="AP49" s="128" t="str">
        <f t="shared" si="14"/>
        <v/>
      </c>
      <c r="AQ49" s="128"/>
      <c r="AR49" s="128"/>
    </row>
    <row r="50" ht="0" customHeight="1">
      <c r="A50" s="478" t="s">
        <v>188</v>
      </c>
      <c r="B50" s="478" t="s">
        <v>189</v>
      </c>
      <c r="C50" s="478" t="s">
        <v>190</v>
      </c>
      <c r="D50" s="478" t="s">
        <v>191</v>
      </c>
      <c r="E50" s="490"/>
      <c r="F50" s="490"/>
      <c r="G50" s="490"/>
      <c r="H50" s="490"/>
      <c r="I50" s="501"/>
      <c r="J50" s="501"/>
      <c r="K50" s="167"/>
      <c r="L50" s="480"/>
      <c r="P50" s="131"/>
      <c r="Q50" s="131"/>
      <c r="R50" s="502"/>
      <c r="S50" s="457"/>
      <c r="T50" s="485"/>
      <c r="U50" s="485"/>
      <c r="V50" s="506"/>
      <c r="W50" s="506"/>
      <c r="X50" s="506"/>
      <c r="Y50" s="510" t="str">
        <f>Z49&amp;"-"&amp;AB49</f>
        <v>-</v>
      </c>
      <c r="Z50" s="511"/>
      <c r="AA50" s="225"/>
      <c r="AB50" s="511"/>
      <c r="AC50" s="225"/>
      <c r="AD50" s="506"/>
      <c r="AE50" s="506"/>
      <c r="AF50" s="506"/>
      <c r="AG50" s="510" t="str">
        <f>AH49&amp;"-"&amp;AJ49</f>
        <v>-</v>
      </c>
      <c r="AH50" s="511"/>
      <c r="AI50" s="225"/>
      <c r="AJ50" s="570"/>
      <c r="AK50" s="225"/>
      <c r="AL50" s="571"/>
      <c r="AM50" s="512"/>
      <c r="AO50" s="128"/>
      <c r="AP50" s="128" t="str">
        <f t="shared" si="14"/>
        <v/>
      </c>
      <c r="AQ50" s="128"/>
      <c r="AR50" s="128"/>
    </row>
    <row r="51" ht="11.25" customHeight="1">
      <c r="A51" s="478" t="s">
        <v>188</v>
      </c>
      <c r="B51" s="478" t="s">
        <v>189</v>
      </c>
      <c r="C51" s="478" t="s">
        <v>190</v>
      </c>
      <c r="D51" s="478" t="s">
        <v>191</v>
      </c>
      <c r="E51" s="490"/>
      <c r="F51" s="490"/>
      <c r="G51" s="490"/>
      <c r="H51" s="490"/>
      <c r="I51" s="501"/>
      <c r="J51" s="167"/>
      <c r="K51" s="478"/>
      <c r="L51" s="480"/>
      <c r="P51" s="131"/>
      <c r="Q51" s="131"/>
      <c r="R51" s="497"/>
      <c r="S51" s="513"/>
      <c r="T51" s="517" t="s">
        <v>401</v>
      </c>
      <c r="U51" s="215"/>
      <c r="V51" s="215"/>
      <c r="W51" s="215"/>
      <c r="X51" s="215"/>
      <c r="Y51" s="215"/>
      <c r="Z51" s="215"/>
      <c r="AA51" s="215"/>
      <c r="AB51" s="215"/>
      <c r="AC51" s="215"/>
      <c r="AD51" s="215"/>
      <c r="AE51" s="215"/>
      <c r="AF51" s="215"/>
      <c r="AG51" s="215"/>
      <c r="AH51" s="215"/>
      <c r="AI51" s="215"/>
      <c r="AJ51" s="215"/>
      <c r="AK51" s="215"/>
      <c r="AL51" s="515"/>
      <c r="AM51" s="516"/>
      <c r="AO51" s="128"/>
      <c r="AP51" s="128" t="str">
        <f t="shared" si="14"/>
        <v xml:space="preserve">Добавить вид теплоносителя (параметры теплоносителя)</v>
      </c>
      <c r="AQ51" s="128"/>
      <c r="AR51" s="128"/>
    </row>
    <row r="52" ht="11.25" customHeight="1">
      <c r="A52" s="478" t="s">
        <v>188</v>
      </c>
      <c r="B52" s="478" t="s">
        <v>189</v>
      </c>
      <c r="C52" s="478" t="s">
        <v>190</v>
      </c>
      <c r="D52" s="478" t="s">
        <v>191</v>
      </c>
      <c r="E52" s="490"/>
      <c r="F52" s="490"/>
      <c r="G52" s="490"/>
      <c r="H52" s="490"/>
      <c r="I52" s="167"/>
      <c r="J52" s="478"/>
      <c r="K52" s="478"/>
      <c r="L52" s="480"/>
      <c r="P52" s="131"/>
      <c r="Q52" s="131"/>
      <c r="R52" s="497"/>
      <c r="S52" s="513"/>
      <c r="T52" s="521" t="s">
        <v>402</v>
      </c>
      <c r="U52" s="215"/>
      <c r="V52" s="215"/>
      <c r="W52" s="215"/>
      <c r="X52" s="215"/>
      <c r="Y52" s="215"/>
      <c r="Z52" s="215"/>
      <c r="AA52" s="215"/>
      <c r="AB52" s="215"/>
      <c r="AC52" s="518"/>
      <c r="AD52" s="215"/>
      <c r="AE52" s="215"/>
      <c r="AF52" s="215"/>
      <c r="AG52" s="215"/>
      <c r="AH52" s="215"/>
      <c r="AI52" s="215"/>
      <c r="AJ52" s="215"/>
      <c r="AK52" s="518"/>
      <c r="AL52" s="215"/>
      <c r="AM52" s="519"/>
      <c r="AO52" s="128"/>
      <c r="AP52" s="128" t="str">
        <f t="shared" si="14"/>
        <v xml:space="preserve">Добавить группу потребителей</v>
      </c>
      <c r="AQ52" s="128"/>
      <c r="AR52" s="128"/>
    </row>
    <row r="53" ht="0" customHeight="1">
      <c r="A53" s="478" t="s">
        <v>188</v>
      </c>
      <c r="B53" s="478" t="s">
        <v>189</v>
      </c>
      <c r="C53" s="478" t="s">
        <v>190</v>
      </c>
      <c r="D53" s="478" t="s">
        <v>191</v>
      </c>
      <c r="E53" s="490"/>
      <c r="F53" s="490"/>
      <c r="G53" s="490"/>
      <c r="H53" s="479"/>
      <c r="I53" s="478"/>
      <c r="J53" s="478"/>
      <c r="K53" s="478"/>
      <c r="L53" s="480"/>
      <c r="M53" s="481"/>
      <c r="N53" s="481"/>
      <c r="O53" s="53"/>
      <c r="P53" s="142"/>
      <c r="Q53" s="520"/>
      <c r="R53" s="482"/>
      <c r="S53" s="582"/>
      <c r="T53" s="583"/>
      <c r="U53" s="584"/>
      <c r="V53" s="584"/>
      <c r="W53" s="584"/>
      <c r="X53" s="584"/>
      <c r="Y53" s="584"/>
      <c r="Z53" s="584"/>
      <c r="AA53" s="584"/>
      <c r="AB53" s="584"/>
      <c r="AC53" s="584"/>
      <c r="AD53" s="584"/>
      <c r="AE53" s="584"/>
      <c r="AF53" s="584"/>
      <c r="AG53" s="584"/>
      <c r="AH53" s="584"/>
      <c r="AI53" s="584"/>
      <c r="AJ53" s="584"/>
      <c r="AK53" s="584"/>
      <c r="AL53" s="584"/>
      <c r="AM53" s="585"/>
      <c r="AO53" s="128"/>
      <c r="AP53" s="128" t="str">
        <f t="shared" si="14"/>
        <v/>
      </c>
      <c r="AQ53" s="128"/>
      <c r="AR53" s="128"/>
    </row>
    <row r="54" s="57" customFormat="1" ht="0" customHeight="1">
      <c r="A54" s="132" t="s">
        <v>188</v>
      </c>
      <c r="B54" s="132" t="s">
        <v>189</v>
      </c>
      <c r="C54" s="132" t="s">
        <v>190</v>
      </c>
      <c r="D54" s="132"/>
      <c r="E54" s="490"/>
      <c r="F54" s="490"/>
      <c r="G54" s="479"/>
      <c r="H54" s="132"/>
      <c r="I54" s="132"/>
      <c r="J54" s="132"/>
      <c r="K54" s="132"/>
      <c r="L54" s="213"/>
      <c r="M54" s="463"/>
      <c r="N54" s="463"/>
      <c r="P54" s="166"/>
      <c r="Q54" s="522"/>
      <c r="R54" s="166"/>
      <c r="S54" s="527"/>
      <c r="T54" s="530" t="s">
        <v>404</v>
      </c>
      <c r="U54" s="529"/>
      <c r="V54" s="529"/>
      <c r="W54" s="529"/>
      <c r="X54" s="529"/>
      <c r="Y54" s="529"/>
      <c r="Z54" s="529"/>
      <c r="AA54" s="529"/>
      <c r="AB54" s="529"/>
      <c r="AC54" s="529"/>
      <c r="AD54" s="529"/>
      <c r="AE54" s="529"/>
      <c r="AF54" s="529"/>
      <c r="AG54" s="529"/>
      <c r="AH54" s="529"/>
      <c r="AI54" s="529"/>
      <c r="AJ54" s="529"/>
      <c r="AK54" s="529"/>
      <c r="AL54" s="529"/>
      <c r="AM54" s="529"/>
      <c r="AO54" s="128"/>
      <c r="AP54" s="128" t="str">
        <f t="shared" si="14"/>
        <v xml:space="preserve">Добавить источник для дифференциации</v>
      </c>
      <c r="AQ54" s="128"/>
      <c r="AR54" s="128"/>
    </row>
    <row r="55" s="57" customFormat="1" ht="0" customHeight="1">
      <c r="A55" s="132" t="s">
        <v>188</v>
      </c>
      <c r="B55" s="132" t="s">
        <v>189</v>
      </c>
      <c r="C55" s="132"/>
      <c r="D55" s="132"/>
      <c r="E55" s="490"/>
      <c r="F55" s="479"/>
      <c r="G55" s="132"/>
      <c r="H55" s="132"/>
      <c r="I55" s="132"/>
      <c r="J55" s="132"/>
      <c r="K55" s="132"/>
      <c r="L55" s="213"/>
      <c r="M55" s="526"/>
      <c r="N55" s="526"/>
      <c r="P55" s="166"/>
      <c r="Q55" s="522"/>
      <c r="R55" s="166"/>
      <c r="S55" s="527"/>
      <c r="T55" s="530" t="s">
        <v>405</v>
      </c>
      <c r="U55" s="529"/>
      <c r="V55" s="529"/>
      <c r="W55" s="529"/>
      <c r="X55" s="529"/>
      <c r="Y55" s="529"/>
      <c r="Z55" s="529"/>
      <c r="AA55" s="529"/>
      <c r="AB55" s="529"/>
      <c r="AC55" s="529"/>
      <c r="AD55" s="529"/>
      <c r="AE55" s="529"/>
      <c r="AF55" s="529"/>
      <c r="AG55" s="529"/>
      <c r="AH55" s="529"/>
      <c r="AI55" s="529"/>
      <c r="AJ55" s="529"/>
      <c r="AK55" s="529"/>
      <c r="AL55" s="529"/>
      <c r="AM55" s="529"/>
      <c r="AO55" s="128"/>
      <c r="AP55" s="128" t="str">
        <f t="shared" si="14"/>
        <v xml:space="preserve">Добавить централизованную систему для дифференциации</v>
      </c>
      <c r="AQ55" s="128"/>
      <c r="AR55" s="128"/>
    </row>
    <row r="56" s="57" customFormat="1" ht="0" customHeight="1">
      <c r="A56" s="132" t="s">
        <v>188</v>
      </c>
      <c r="B56" s="132"/>
      <c r="C56" s="132"/>
      <c r="D56" s="132"/>
      <c r="E56" s="479"/>
      <c r="F56" s="132"/>
      <c r="G56" s="132"/>
      <c r="H56" s="132"/>
      <c r="I56" s="132"/>
      <c r="J56" s="132"/>
      <c r="K56" s="132"/>
      <c r="L56" s="213"/>
      <c r="M56" s="526"/>
      <c r="N56" s="526"/>
      <c r="O56" s="57"/>
      <c r="P56" s="166"/>
      <c r="Q56" s="522"/>
      <c r="R56" s="166"/>
      <c r="S56" s="527"/>
      <c r="T56" s="530" t="s">
        <v>406</v>
      </c>
      <c r="U56" s="529"/>
      <c r="V56" s="529"/>
      <c r="W56" s="529"/>
      <c r="X56" s="529"/>
      <c r="Y56" s="529"/>
      <c r="Z56" s="529"/>
      <c r="AA56" s="529"/>
      <c r="AB56" s="529"/>
      <c r="AC56" s="529"/>
      <c r="AD56" s="529"/>
      <c r="AE56" s="529"/>
      <c r="AF56" s="529"/>
      <c r="AG56" s="529"/>
      <c r="AH56" s="529"/>
      <c r="AI56" s="529"/>
      <c r="AJ56" s="529"/>
      <c r="AK56" s="529"/>
      <c r="AL56" s="529"/>
      <c r="AM56" s="529"/>
      <c r="AO56" s="128"/>
      <c r="AP56" s="128" t="str">
        <f t="shared" si="14"/>
        <v xml:space="preserve">Добавить территорию для дифференциации</v>
      </c>
      <c r="AQ56" s="128"/>
      <c r="AR56" s="128"/>
    </row>
    <row r="57" s="57" customFormat="1" ht="5.25" customHeight="1">
      <c r="A57" s="132"/>
      <c r="B57" s="132"/>
      <c r="C57" s="132"/>
      <c r="D57" s="132"/>
      <c r="E57" s="132"/>
      <c r="F57" s="132"/>
      <c r="G57" s="132"/>
      <c r="H57" s="132"/>
      <c r="I57" s="132"/>
      <c r="J57" s="132"/>
      <c r="K57" s="132"/>
      <c r="L57" s="213"/>
      <c r="M57" s="526"/>
      <c r="N57" s="526"/>
      <c r="P57" s="166"/>
      <c r="Q57" s="522"/>
      <c r="R57" s="166"/>
      <c r="S57" s="527"/>
      <c r="T57" s="530" t="s">
        <v>438</v>
      </c>
      <c r="U57" s="529"/>
      <c r="V57" s="529"/>
      <c r="W57" s="529"/>
      <c r="X57" s="529"/>
      <c r="Y57" s="529"/>
      <c r="Z57" s="529"/>
      <c r="AA57" s="529"/>
      <c r="AB57" s="529"/>
      <c r="AC57" s="529"/>
      <c r="AD57" s="529"/>
      <c r="AE57" s="529"/>
      <c r="AF57" s="529"/>
      <c r="AG57" s="529"/>
      <c r="AH57" s="529"/>
      <c r="AI57" s="529"/>
      <c r="AJ57" s="529"/>
      <c r="AK57" s="529"/>
      <c r="AL57" s="529"/>
      <c r="AM57" s="529"/>
      <c r="AO57" s="128"/>
      <c r="AP57" s="128" t="str">
        <f t="shared" si="14"/>
        <v xml:space="preserve">Добавить наименование тарифа</v>
      </c>
      <c r="AQ57" s="128"/>
      <c r="AR57" s="128"/>
    </row>
    <row r="58" ht="11.25" customHeight="1">
      <c r="M58" s="53"/>
      <c r="N58" s="53"/>
      <c r="O58" s="53"/>
      <c r="P58" s="50"/>
      <c r="Q58" s="50"/>
      <c r="R58" s="50"/>
      <c r="S58" s="50"/>
      <c r="AN58" s="50"/>
      <c r="AO58" s="50"/>
      <c r="AP58" s="50"/>
      <c r="AQ58" s="50"/>
      <c r="AR58" s="50"/>
    </row>
    <row r="59" ht="14.25" customHeight="1">
      <c r="O59" s="53"/>
      <c r="S59" s="475"/>
      <c r="T59" s="572"/>
      <c r="U59" s="572"/>
      <c r="V59" s="572"/>
      <c r="W59" s="572"/>
      <c r="X59" s="572"/>
      <c r="Y59" s="572"/>
      <c r="Z59" s="572"/>
      <c r="AA59" s="572"/>
      <c r="AB59" s="572"/>
      <c r="AC59" s="572"/>
      <c r="AD59" s="572"/>
      <c r="AE59" s="572"/>
      <c r="AF59" s="572"/>
      <c r="AG59" s="572"/>
      <c r="AH59" s="572"/>
      <c r="AI59" s="572"/>
      <c r="AJ59" s="572"/>
      <c r="AK59" s="572"/>
      <c r="AL59" s="572"/>
      <c r="AM59" s="572"/>
    </row>
    <row r="60" ht="14.25" customHeight="1">
      <c r="O60" s="53"/>
      <c r="T60" s="572"/>
      <c r="U60" s="572"/>
      <c r="V60" s="572"/>
      <c r="W60" s="572"/>
      <c r="X60" s="572"/>
      <c r="Y60" s="572"/>
      <c r="Z60" s="572"/>
      <c r="AA60" s="572"/>
      <c r="AB60" s="572"/>
      <c r="AC60" s="572"/>
      <c r="AD60" s="572"/>
      <c r="AE60" s="572"/>
      <c r="AF60" s="572"/>
      <c r="AG60" s="572"/>
      <c r="AH60" s="572"/>
      <c r="AI60" s="572"/>
      <c r="AJ60" s="572"/>
      <c r="AK60" s="572"/>
      <c r="AL60" s="572"/>
      <c r="AM60" s="572"/>
    </row>
    <row r="61" ht="14.25" customHeight="1">
      <c r="O61" s="53"/>
      <c r="T61" s="572"/>
      <c r="U61" s="572"/>
      <c r="V61" s="572"/>
      <c r="W61" s="572"/>
      <c r="X61" s="572"/>
      <c r="Y61" s="572"/>
      <c r="Z61" s="572"/>
      <c r="AA61" s="572"/>
      <c r="AB61" s="572"/>
      <c r="AC61" s="572"/>
      <c r="AD61" s="572"/>
      <c r="AE61" s="572"/>
      <c r="AF61" s="572"/>
      <c r="AG61" s="572"/>
      <c r="AH61" s="572"/>
      <c r="AI61" s="572"/>
      <c r="AJ61" s="572"/>
      <c r="AK61" s="572"/>
      <c r="AL61" s="572"/>
      <c r="AM61" s="572"/>
    </row>
    <row r="62" ht="14.25" customHeight="1">
      <c r="O62" s="53"/>
    </row>
    <row r="63" ht="14.25" customHeight="1">
      <c r="O63" s="53"/>
      <c r="S63" s="475"/>
      <c r="T63" s="289"/>
      <c r="U63" s="572"/>
      <c r="V63" s="572"/>
      <c r="W63" s="572"/>
      <c r="X63" s="572"/>
      <c r="Y63" s="572"/>
      <c r="Z63" s="572"/>
      <c r="AA63" s="572"/>
      <c r="AB63" s="572"/>
      <c r="AC63" s="572"/>
      <c r="AD63" s="572"/>
      <c r="AE63" s="572"/>
      <c r="AF63" s="572"/>
      <c r="AG63" s="572"/>
      <c r="AH63" s="572"/>
      <c r="AI63" s="572"/>
      <c r="AJ63" s="572"/>
      <c r="AK63" s="572"/>
      <c r="AL63" s="572"/>
      <c r="AM63" s="572"/>
    </row>
    <row r="64" ht="14.25" customHeight="1">
      <c r="O64" s="53"/>
      <c r="T64" s="572"/>
      <c r="U64" s="572"/>
      <c r="V64" s="572"/>
      <c r="W64" s="572"/>
      <c r="X64" s="572"/>
      <c r="Y64" s="572"/>
      <c r="Z64" s="572"/>
      <c r="AA64" s="572"/>
      <c r="AB64" s="572"/>
      <c r="AC64" s="572"/>
      <c r="AD64" s="572"/>
      <c r="AE64" s="572"/>
      <c r="AF64" s="572"/>
      <c r="AG64" s="572"/>
      <c r="AH64" s="572"/>
      <c r="AI64" s="572"/>
      <c r="AJ64" s="572"/>
      <c r="AK64" s="572"/>
      <c r="AL64" s="572"/>
      <c r="AM64" s="572"/>
    </row>
    <row r="65" ht="14.25" customHeight="1">
      <c r="T65" s="572"/>
      <c r="U65" s="572"/>
      <c r="V65" s="572"/>
      <c r="W65" s="572"/>
      <c r="X65" s="572"/>
      <c r="Y65" s="572"/>
      <c r="Z65" s="572"/>
      <c r="AA65" s="572"/>
      <c r="AB65" s="572"/>
      <c r="AC65" s="572"/>
      <c r="AD65" s="572"/>
      <c r="AE65" s="572"/>
      <c r="AF65" s="572"/>
      <c r="AG65" s="572"/>
      <c r="AH65" s="572"/>
      <c r="AI65" s="572"/>
      <c r="AJ65" s="572"/>
      <c r="AK65" s="572"/>
      <c r="AL65" s="572"/>
      <c r="AM65" s="572"/>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1900F1-009F-4255-AED9-002E00210046}"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DA006B-000E-429A-9E57-008B0039003A}"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ED00FB-0081-48DA-8FDA-005800CC00EB}"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1C0033-009E-4A5D-A3C5-009E00AE00E9}"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R29" zoomScale="90" workbookViewId="0">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2" style="50" width="11.421875"/>
    <col customWidth="1" hidden="1" min="13" max="13" style="51" width="19.140625"/>
    <col customWidth="1" hidden="1" min="14" max="15" style="60" width="12.28125"/>
    <col customWidth="1" hidden="1" min="16" max="16" style="60" width="23.421875"/>
    <col customWidth="1" hidden="1" min="17" max="17" style="60" width="3.7109375"/>
    <col customWidth="1" min="18" max="20" style="477" width="3.7109375"/>
    <col customWidth="1" min="21" max="21" style="322" width="12.7109375"/>
    <col customWidth="1" min="22" max="22" style="50" width="32.00390625"/>
    <col customWidth="1" min="23" max="23" style="50" width="0.140625"/>
    <col customWidth="1" hidden="1" min="24" max="28" style="50" width="21.7109375"/>
    <col customWidth="1" hidden="1" min="29" max="29" style="50" width="11.7109375"/>
    <col customWidth="1" hidden="1" min="30" max="30" style="50" width="3.7109375"/>
    <col customWidth="1" hidden="1" min="31" max="31" style="50" width="11.7109375"/>
    <col customWidth="1" hidden="1" min="32" max="32" style="50" width="8.57421875"/>
    <col customWidth="1" min="33" max="37" style="50" width="21.7109375"/>
    <col customWidth="1" min="38" max="38" style="50" width="11.7109375"/>
    <col customWidth="1" min="39" max="39" style="50" width="3.7109375"/>
    <col customWidth="1" min="40" max="40" style="50" width="11.7109375"/>
    <col customWidth="1" min="41" max="41" style="50" width="8.57421875"/>
    <col customWidth="1" min="42" max="42" style="50" width="4.7109375"/>
    <col customWidth="1" min="43" max="43" style="50" width="115.7109375"/>
    <col min="44" max="45" style="57" width="10.57421875"/>
    <col customWidth="1" min="46" max="46" style="57" width="11.140625"/>
    <col min="47" max="48" style="57" width="10.57421875"/>
  </cols>
  <sheetData>
    <row r="1" ht="14.25" hidden="1" customHeight="1">
      <c r="AB1" s="50"/>
      <c r="AC1" s="50"/>
      <c r="AK1" s="50"/>
      <c r="AL1" s="50"/>
    </row>
    <row r="2" ht="21" hidden="1" customHeight="1">
      <c r="A2" s="265"/>
      <c r="B2" s="265"/>
      <c r="C2" s="265"/>
      <c r="D2" s="265"/>
      <c r="E2" s="588">
        <v>1</v>
      </c>
      <c r="F2" s="265"/>
      <c r="G2" s="265"/>
      <c r="H2" s="265"/>
      <c r="I2" s="265"/>
      <c r="J2" s="265"/>
      <c r="K2" s="265"/>
      <c r="L2" s="265"/>
      <c r="M2" s="321"/>
      <c r="N2" s="322"/>
      <c r="O2" s="322"/>
      <c r="P2" s="322"/>
      <c r="Q2" s="60"/>
      <c r="R2" s="142"/>
      <c r="S2" s="142"/>
      <c r="T2" s="482"/>
      <c r="U2" s="483" t="e">
        <f>INDEX(PT_DIFFERENTIATION_NUM_NTAR,MATCH(A2,PT_DIFFERENTIATION_NTAR_ID,0))</f>
        <v>#VALUE!</v>
      </c>
      <c r="V2" s="484" t="s">
        <v>125</v>
      </c>
      <c r="W2" s="485"/>
      <c r="X2" s="486"/>
      <c r="Y2" s="487"/>
      <c r="Z2" s="487"/>
      <c r="AA2" s="487"/>
      <c r="AB2" s="487"/>
      <c r="AC2" s="487"/>
      <c r="AD2" s="487"/>
      <c r="AE2" s="487"/>
      <c r="AF2" s="488"/>
      <c r="AG2" s="486" t="e">
        <f>INDEX(PT_DIFFERENTIATION_NTAR,MATCH(A2,PT_DIFFERENTIATION_NTAR_ID,0))</f>
        <v>#VALUE!</v>
      </c>
      <c r="AH2" s="487"/>
      <c r="AI2" s="487"/>
      <c r="AJ2" s="487"/>
      <c r="AK2" s="487"/>
      <c r="AL2" s="487"/>
      <c r="AM2" s="487"/>
      <c r="AN2" s="487"/>
      <c r="AO2" s="487"/>
      <c r="AP2" s="488"/>
      <c r="AQ2" s="489" t="s">
        <v>386</v>
      </c>
      <c r="AS2" s="128"/>
      <c r="AT2" s="128" t="str">
        <f t="shared" ref="AT2:AT8" si="15">IF(V2="","",V2)</f>
        <v xml:space="preserve">Наименование тарифа</v>
      </c>
      <c r="AU2" s="128"/>
      <c r="AV2" s="128"/>
    </row>
    <row r="3" ht="21" hidden="1" customHeight="1">
      <c r="A3" s="265"/>
      <c r="B3" s="265"/>
      <c r="C3" s="265"/>
      <c r="D3" s="265"/>
      <c r="E3" s="589"/>
      <c r="F3" s="588">
        <v>1</v>
      </c>
      <c r="G3" s="265"/>
      <c r="H3" s="265"/>
      <c r="I3" s="265"/>
      <c r="J3" s="265"/>
      <c r="K3" s="265"/>
      <c r="L3" s="265"/>
      <c r="M3" s="321"/>
      <c r="N3" s="322"/>
      <c r="O3" s="322"/>
      <c r="P3" s="322"/>
      <c r="Q3" s="51"/>
      <c r="R3" s="491"/>
      <c r="S3" s="50"/>
      <c r="T3" s="492"/>
      <c r="U3" s="483" t="e">
        <f>INDEX(PT_DIFFERENTIATION_NUM_TER,MATCH(B3,PT_DIFFERENTIATION_TER_ID,0))</f>
        <v>#VALUE!</v>
      </c>
      <c r="V3" s="493" t="s">
        <v>387</v>
      </c>
      <c r="W3" s="485"/>
      <c r="X3" s="486"/>
      <c r="Y3" s="487"/>
      <c r="Z3" s="487"/>
      <c r="AA3" s="487"/>
      <c r="AB3" s="487"/>
      <c r="AC3" s="487"/>
      <c r="AD3" s="487"/>
      <c r="AE3" s="487"/>
      <c r="AF3" s="488"/>
      <c r="AG3" s="486" t="e">
        <f>INDEX(PT_DIFFERENTIATION_TER,MATCH(B3,PT_DIFFERENTIATION_TER_ID,0))</f>
        <v>#VALUE!</v>
      </c>
      <c r="AH3" s="487"/>
      <c r="AI3" s="487"/>
      <c r="AJ3" s="487"/>
      <c r="AK3" s="487"/>
      <c r="AL3" s="487"/>
      <c r="AM3" s="487"/>
      <c r="AN3" s="487"/>
      <c r="AO3" s="487"/>
      <c r="AP3" s="488"/>
      <c r="AQ3" s="489" t="s">
        <v>388</v>
      </c>
      <c r="AS3" s="128"/>
      <c r="AT3" s="128" t="str">
        <f t="shared" si="15"/>
        <v xml:space="preserve">Территория действия тарифа</v>
      </c>
      <c r="AU3" s="128"/>
      <c r="AV3" s="128"/>
    </row>
    <row r="4" ht="22.5" hidden="1" customHeight="1">
      <c r="A4" s="265"/>
      <c r="B4" s="265"/>
      <c r="C4" s="265"/>
      <c r="D4" s="265"/>
      <c r="E4" s="589"/>
      <c r="F4" s="589"/>
      <c r="G4" s="588">
        <v>1</v>
      </c>
      <c r="H4" s="265"/>
      <c r="I4" s="265"/>
      <c r="J4" s="265"/>
      <c r="K4" s="265"/>
      <c r="L4" s="265"/>
      <c r="M4" s="321"/>
      <c r="N4" s="322"/>
      <c r="O4" s="322"/>
      <c r="P4" s="322"/>
      <c r="Q4" s="494"/>
      <c r="R4" s="491"/>
      <c r="S4" s="50"/>
      <c r="T4" s="492"/>
      <c r="U4" s="483" t="e">
        <f>INDEX(PT_DIFFERENTIATION_NUM_CS,MATCH(C4,PT_DIFFERENTIATION_CS_ID,0))</f>
        <v>#VALUE!</v>
      </c>
      <c r="V4" s="495" t="s">
        <v>389</v>
      </c>
      <c r="W4" s="485"/>
      <c r="X4" s="486"/>
      <c r="Y4" s="487"/>
      <c r="Z4" s="487"/>
      <c r="AA4" s="487"/>
      <c r="AB4" s="487"/>
      <c r="AC4" s="487"/>
      <c r="AD4" s="487"/>
      <c r="AE4" s="487"/>
      <c r="AF4" s="488"/>
      <c r="AG4" s="486" t="e">
        <f>INDEX(PT_DIFFERENTIATION_CS,MATCH(C4,PT_DIFFERENTIATION_CS_ID,0))</f>
        <v>#VALUE!</v>
      </c>
      <c r="AH4" s="487"/>
      <c r="AI4" s="487"/>
      <c r="AJ4" s="487"/>
      <c r="AK4" s="487"/>
      <c r="AL4" s="487"/>
      <c r="AM4" s="487"/>
      <c r="AN4" s="487"/>
      <c r="AO4" s="487"/>
      <c r="AP4" s="488"/>
      <c r="AQ4" s="489" t="s">
        <v>390</v>
      </c>
      <c r="AS4" s="128"/>
      <c r="AT4" s="128" t="str">
        <f t="shared" si="15"/>
        <v xml:space="preserve">Наименование системы теплоснабжения</v>
      </c>
      <c r="AU4" s="128"/>
      <c r="AV4" s="128"/>
    </row>
    <row r="5" ht="21" hidden="1" customHeight="1">
      <c r="A5" s="265"/>
      <c r="B5" s="265"/>
      <c r="C5" s="265"/>
      <c r="D5" s="265"/>
      <c r="E5" s="589"/>
      <c r="F5" s="589"/>
      <c r="G5" s="589"/>
      <c r="H5" s="588">
        <v>1</v>
      </c>
      <c r="I5" s="265"/>
      <c r="J5" s="265"/>
      <c r="K5" s="265"/>
      <c r="L5" s="265"/>
      <c r="M5" s="321"/>
      <c r="N5" s="322"/>
      <c r="O5" s="322"/>
      <c r="P5" s="322"/>
      <c r="Q5" s="494"/>
      <c r="R5" s="491"/>
      <c r="S5" s="50"/>
      <c r="T5" s="492"/>
      <c r="U5" s="483" t="e">
        <f>INDEX(PT_DIFFERENTIATION_NUM_IST_TE,MATCH(D5,PT_DIFFERENTIATION_IST_TE_ID,0))</f>
        <v>#VALUE!</v>
      </c>
      <c r="V5" s="496" t="s">
        <v>391</v>
      </c>
      <c r="W5" s="485"/>
      <c r="X5" s="486"/>
      <c r="Y5" s="487"/>
      <c r="Z5" s="487"/>
      <c r="AA5" s="487"/>
      <c r="AB5" s="487"/>
      <c r="AC5" s="487"/>
      <c r="AD5" s="487"/>
      <c r="AE5" s="487"/>
      <c r="AF5" s="488"/>
      <c r="AG5" s="486" t="e">
        <f>INDEX(PT_DIFFERENTIATION_IST_TE,MATCH(D5,PT_DIFFERENTIATION_IST_TE_ID,0))</f>
        <v>#VALUE!</v>
      </c>
      <c r="AH5" s="487"/>
      <c r="AI5" s="487"/>
      <c r="AJ5" s="487"/>
      <c r="AK5" s="487"/>
      <c r="AL5" s="487"/>
      <c r="AM5" s="487"/>
      <c r="AN5" s="487"/>
      <c r="AO5" s="487"/>
      <c r="AP5" s="488"/>
      <c r="AQ5" s="489" t="s">
        <v>392</v>
      </c>
      <c r="AS5" s="128"/>
      <c r="AT5" s="128" t="str">
        <f t="shared" si="15"/>
        <v xml:space="preserve">Источник тепловой энергии</v>
      </c>
      <c r="AU5" s="128"/>
      <c r="AV5" s="128"/>
    </row>
    <row r="6" ht="14.25" hidden="1" customHeight="1">
      <c r="A6" s="265"/>
      <c r="B6" s="265"/>
      <c r="C6" s="265"/>
      <c r="D6" s="265"/>
      <c r="E6" s="589"/>
      <c r="F6" s="589"/>
      <c r="G6" s="589"/>
      <c r="H6" s="589"/>
      <c r="I6" s="156" t="e">
        <f>U5&amp;".1"</f>
        <v>#VALUE!</v>
      </c>
      <c r="J6" s="265"/>
      <c r="K6" s="265"/>
      <c r="L6" s="265"/>
      <c r="M6" s="321" t="s">
        <v>393</v>
      </c>
      <c r="N6" s="50"/>
      <c r="Q6" s="131">
        <v>1</v>
      </c>
      <c r="R6" s="131"/>
      <c r="S6" s="131"/>
      <c r="T6" s="497"/>
      <c r="U6" s="351"/>
      <c r="V6" s="576"/>
      <c r="W6" s="577"/>
      <c r="X6" s="578"/>
      <c r="Y6" s="579"/>
      <c r="Z6" s="579"/>
      <c r="AA6" s="579"/>
      <c r="AB6" s="579"/>
      <c r="AC6" s="579"/>
      <c r="AD6" s="579"/>
      <c r="AE6" s="579"/>
      <c r="AF6" s="580"/>
      <c r="AG6" s="578"/>
      <c r="AH6" s="579"/>
      <c r="AI6" s="579"/>
      <c r="AJ6" s="579"/>
      <c r="AK6" s="579"/>
      <c r="AL6" s="579"/>
      <c r="AM6" s="579"/>
      <c r="AN6" s="579"/>
      <c r="AO6" s="579"/>
      <c r="AP6" s="580"/>
      <c r="AQ6" s="581"/>
      <c r="AS6" s="128"/>
      <c r="AT6" s="128" t="str">
        <f t="shared" si="15"/>
        <v/>
      </c>
      <c r="AU6" s="128"/>
      <c r="AV6" s="128"/>
    </row>
    <row r="7" ht="21" hidden="1" customHeight="1">
      <c r="A7" s="265"/>
      <c r="B7" s="265"/>
      <c r="C7" s="265"/>
      <c r="D7" s="265"/>
      <c r="E7" s="589"/>
      <c r="F7" s="589"/>
      <c r="G7" s="589"/>
      <c r="H7" s="589"/>
      <c r="I7" s="73"/>
      <c r="J7" s="156" t="e">
        <f>I6&amp;".1"</f>
        <v>#VALUE!</v>
      </c>
      <c r="K7" s="265"/>
      <c r="L7" s="265"/>
      <c r="M7" s="321" t="s">
        <v>396</v>
      </c>
      <c r="N7" s="50"/>
      <c r="O7" s="50"/>
      <c r="Q7" s="131"/>
      <c r="R7" s="131">
        <v>1</v>
      </c>
      <c r="S7" s="57"/>
      <c r="T7" s="502"/>
      <c r="U7" s="483" t="e">
        <f>$J7</f>
        <v>#VALUE!</v>
      </c>
      <c r="V7" s="503" t="s">
        <v>397</v>
      </c>
      <c r="W7" s="485"/>
      <c r="X7" s="430"/>
      <c r="Y7" s="499"/>
      <c r="Z7" s="499"/>
      <c r="AA7" s="499"/>
      <c r="AB7" s="499"/>
      <c r="AC7" s="445"/>
      <c r="AD7" s="445"/>
      <c r="AE7" s="445"/>
      <c r="AF7" s="590"/>
      <c r="AG7" s="430"/>
      <c r="AH7" s="499"/>
      <c r="AI7" s="499"/>
      <c r="AJ7" s="499"/>
      <c r="AK7" s="499"/>
      <c r="AL7" s="499"/>
      <c r="AM7" s="499"/>
      <c r="AN7" s="499"/>
      <c r="AO7" s="499"/>
      <c r="AP7" s="500"/>
      <c r="AQ7" s="489" t="s">
        <v>398</v>
      </c>
      <c r="AS7" s="128"/>
      <c r="AT7" s="128" t="str">
        <f t="shared" si="15"/>
        <v xml:space="preserve">Группа потребителей</v>
      </c>
      <c r="AU7" s="128"/>
      <c r="AV7" s="128"/>
    </row>
    <row r="8" ht="21" hidden="1" customHeight="1">
      <c r="A8" s="265"/>
      <c r="B8" s="265"/>
      <c r="C8" s="265"/>
      <c r="D8" s="265"/>
      <c r="E8" s="589"/>
      <c r="F8" s="589"/>
      <c r="G8" s="589"/>
      <c r="H8" s="589"/>
      <c r="I8" s="73"/>
      <c r="J8" s="73"/>
      <c r="K8" s="156" t="e">
        <f>J7&amp;".1"</f>
        <v>#VALUE!</v>
      </c>
      <c r="L8" s="51"/>
      <c r="M8" s="321" t="s">
        <v>399</v>
      </c>
      <c r="N8" s="50"/>
      <c r="O8" s="50"/>
      <c r="P8" s="50"/>
      <c r="Q8" s="131"/>
      <c r="R8" s="131"/>
      <c r="S8" s="131">
        <v>1</v>
      </c>
      <c r="T8" s="502"/>
      <c r="U8" s="483" t="e">
        <f>$K8</f>
        <v>#VALUE!</v>
      </c>
      <c r="V8" s="504"/>
      <c r="W8" s="485"/>
      <c r="X8" s="505"/>
      <c r="Y8" s="505"/>
      <c r="Z8" s="505"/>
      <c r="AA8" s="505"/>
      <c r="AB8" s="591"/>
      <c r="AC8" s="508"/>
      <c r="AD8" s="225" t="s">
        <v>56</v>
      </c>
      <c r="AE8" s="508"/>
      <c r="AF8" s="225" t="s">
        <v>56</v>
      </c>
      <c r="AG8" s="592"/>
      <c r="AH8" s="505"/>
      <c r="AI8" s="505"/>
      <c r="AJ8" s="505"/>
      <c r="AK8" s="507"/>
      <c r="AL8" s="508"/>
      <c r="AM8" s="225" t="s">
        <v>56</v>
      </c>
      <c r="AN8" s="508"/>
      <c r="AO8" s="225" t="s">
        <v>56</v>
      </c>
      <c r="AP8" s="506"/>
      <c r="AQ8" s="593" t="s">
        <v>441</v>
      </c>
      <c r="AR8" s="57" t="e">
        <f>STRCHECKDATE(X10:AP10)</f>
        <v>#NAME?</v>
      </c>
      <c r="AS8" s="128"/>
      <c r="AT8" s="128" t="str">
        <f t="shared" si="15"/>
        <v/>
      </c>
      <c r="AU8" s="128"/>
      <c r="AV8" s="128"/>
    </row>
    <row r="9" ht="21" hidden="1" customHeight="1">
      <c r="A9" s="265"/>
      <c r="B9" s="265"/>
      <c r="C9" s="265"/>
      <c r="D9" s="265"/>
      <c r="E9" s="589"/>
      <c r="F9" s="589"/>
      <c r="G9" s="589"/>
      <c r="H9" s="589"/>
      <c r="I9" s="73"/>
      <c r="J9" s="73"/>
      <c r="K9" s="73"/>
      <c r="L9" s="156" t="e">
        <f>K8&amp;".1"</f>
        <v>#VALUE!</v>
      </c>
      <c r="M9" s="321"/>
      <c r="N9" s="50"/>
      <c r="O9" s="50"/>
      <c r="P9" s="50"/>
      <c r="Q9" s="131"/>
      <c r="R9" s="131"/>
      <c r="S9" s="131"/>
      <c r="T9" s="502"/>
      <c r="U9" s="483" t="e">
        <f>$L9</f>
        <v>#VALUE!</v>
      </c>
      <c r="V9" s="594"/>
      <c r="W9" s="485"/>
      <c r="X9" s="506"/>
      <c r="Y9" s="505"/>
      <c r="Z9" s="505"/>
      <c r="AA9" s="505"/>
      <c r="AB9" s="591"/>
      <c r="AC9" s="511"/>
      <c r="AD9" s="225"/>
      <c r="AE9" s="511"/>
      <c r="AF9" s="225"/>
      <c r="AG9" s="592"/>
      <c r="AH9" s="505"/>
      <c r="AI9" s="505"/>
      <c r="AJ9" s="505"/>
      <c r="AK9" s="507"/>
      <c r="AL9" s="511"/>
      <c r="AM9" s="225"/>
      <c r="AN9" s="511"/>
      <c r="AO9" s="225"/>
      <c r="AP9" s="506"/>
      <c r="AQ9" s="509" t="s">
        <v>442</v>
      </c>
      <c r="AS9" s="128"/>
      <c r="AT9" s="128"/>
      <c r="AU9" s="128"/>
      <c r="AV9" s="128"/>
    </row>
    <row r="10" ht="14.25" hidden="1" customHeight="1">
      <c r="A10" s="265"/>
      <c r="B10" s="265"/>
      <c r="C10" s="265"/>
      <c r="D10" s="265"/>
      <c r="E10" s="589"/>
      <c r="F10" s="589"/>
      <c r="G10" s="589"/>
      <c r="H10" s="589"/>
      <c r="I10" s="73"/>
      <c r="J10" s="73"/>
      <c r="K10" s="73"/>
      <c r="L10" s="156"/>
      <c r="M10" s="321"/>
      <c r="N10" s="50"/>
      <c r="O10" s="50"/>
      <c r="P10" s="50"/>
      <c r="Q10" s="131"/>
      <c r="R10" s="131"/>
      <c r="S10" s="131"/>
      <c r="T10" s="502"/>
      <c r="U10" s="457"/>
      <c r="V10" s="485"/>
      <c r="W10" s="485"/>
      <c r="X10" s="506"/>
      <c r="Y10" s="506"/>
      <c r="Z10" s="506"/>
      <c r="AA10" s="506"/>
      <c r="AB10" s="595" t="str">
        <f>AC8&amp;"-"&amp;AE8</f>
        <v>-</v>
      </c>
      <c r="AC10" s="511"/>
      <c r="AD10" s="225"/>
      <c r="AE10" s="511"/>
      <c r="AF10" s="225"/>
      <c r="AG10" s="596"/>
      <c r="AH10" s="506"/>
      <c r="AI10" s="506"/>
      <c r="AJ10" s="506"/>
      <c r="AK10" s="510" t="str">
        <f>AL8&amp;"-"&amp;AN8</f>
        <v>-</v>
      </c>
      <c r="AL10" s="511"/>
      <c r="AM10" s="225"/>
      <c r="AN10" s="511"/>
      <c r="AO10" s="225"/>
      <c r="AP10" s="506"/>
      <c r="AQ10" s="512"/>
      <c r="AS10" s="128"/>
      <c r="AT10" s="128" t="str">
        <f>IF(V10="","",V10)</f>
        <v/>
      </c>
      <c r="AU10" s="128"/>
      <c r="AV10" s="128"/>
    </row>
    <row r="11" ht="11.25" hidden="1" customHeight="1">
      <c r="A11" s="265"/>
      <c r="B11" s="265"/>
      <c r="C11" s="265"/>
      <c r="D11" s="265"/>
      <c r="E11" s="589"/>
      <c r="F11" s="589"/>
      <c r="G11" s="589"/>
      <c r="H11" s="589"/>
      <c r="I11" s="73"/>
      <c r="J11" s="73"/>
      <c r="K11" s="156"/>
      <c r="L11" s="265"/>
      <c r="M11" s="321"/>
      <c r="N11" s="50"/>
      <c r="O11" s="50"/>
      <c r="P11" s="50"/>
      <c r="Q11" s="131"/>
      <c r="R11" s="131"/>
      <c r="S11" s="131"/>
      <c r="T11" s="502"/>
      <c r="U11" s="513"/>
      <c r="V11" s="514" t="s">
        <v>443</v>
      </c>
      <c r="W11" s="597"/>
      <c r="X11" s="598"/>
      <c r="Y11" s="598"/>
      <c r="Z11" s="598"/>
      <c r="AA11" s="598"/>
      <c r="AB11" s="599"/>
      <c r="AC11" s="511"/>
      <c r="AD11" s="225"/>
      <c r="AE11" s="511"/>
      <c r="AF11" s="225"/>
      <c r="AG11" s="598"/>
      <c r="AH11" s="598"/>
      <c r="AI11" s="598"/>
      <c r="AJ11" s="598"/>
      <c r="AK11" s="599"/>
      <c r="AL11" s="511"/>
      <c r="AM11" s="225"/>
      <c r="AN11" s="511"/>
      <c r="AO11" s="225"/>
      <c r="AP11" s="600"/>
      <c r="AQ11" s="512"/>
      <c r="AS11" s="128"/>
      <c r="AT11" s="128"/>
      <c r="AU11" s="128"/>
      <c r="AV11" s="128"/>
    </row>
    <row r="12" ht="15" hidden="1" customHeight="1">
      <c r="A12" s="265"/>
      <c r="B12" s="265"/>
      <c r="C12" s="265"/>
      <c r="D12" s="265"/>
      <c r="E12" s="589"/>
      <c r="F12" s="589"/>
      <c r="G12" s="589"/>
      <c r="H12" s="589"/>
      <c r="I12" s="73"/>
      <c r="J12" s="156"/>
      <c r="K12" s="265"/>
      <c r="L12" s="265"/>
      <c r="M12" s="321"/>
      <c r="N12" s="50"/>
      <c r="O12" s="50"/>
      <c r="Q12" s="131"/>
      <c r="R12" s="131"/>
      <c r="S12" s="131"/>
      <c r="T12" s="497"/>
      <c r="U12" s="513"/>
      <c r="V12" s="517" t="s">
        <v>401</v>
      </c>
      <c r="W12" s="215"/>
      <c r="X12" s="215"/>
      <c r="Y12" s="215"/>
      <c r="Z12" s="215"/>
      <c r="AA12" s="215"/>
      <c r="AB12" s="215"/>
      <c r="AC12" s="601"/>
      <c r="AD12" s="601"/>
      <c r="AE12" s="601"/>
      <c r="AF12" s="601"/>
      <c r="AG12" s="215"/>
      <c r="AH12" s="215"/>
      <c r="AI12" s="215"/>
      <c r="AJ12" s="215"/>
      <c r="AK12" s="215"/>
      <c r="AL12" s="215"/>
      <c r="AM12" s="215"/>
      <c r="AN12" s="215"/>
      <c r="AO12" s="215"/>
      <c r="AP12" s="515"/>
      <c r="AQ12" s="516"/>
      <c r="AS12" s="128"/>
      <c r="AT12" s="128" t="str">
        <f t="shared" ref="AT12:AT65" si="16">IF(V12="","",V12)</f>
        <v xml:space="preserve">Добавить вид теплоносителя (параметры теплоносителя)</v>
      </c>
      <c r="AU12" s="128"/>
      <c r="AV12" s="128"/>
    </row>
    <row r="13" ht="11.25" hidden="1" customHeight="1">
      <c r="A13" s="265"/>
      <c r="B13" s="265"/>
      <c r="C13" s="265"/>
      <c r="D13" s="265"/>
      <c r="E13" s="589"/>
      <c r="F13" s="589"/>
      <c r="G13" s="589"/>
      <c r="H13" s="589"/>
      <c r="I13" s="156"/>
      <c r="J13" s="265"/>
      <c r="K13" s="265"/>
      <c r="L13" s="265"/>
      <c r="M13" s="321"/>
      <c r="N13" s="50"/>
      <c r="Q13" s="131"/>
      <c r="R13" s="131"/>
      <c r="S13" s="131"/>
      <c r="T13" s="497"/>
      <c r="U13" s="513"/>
      <c r="V13" s="521" t="s">
        <v>402</v>
      </c>
      <c r="W13" s="215"/>
      <c r="X13" s="215"/>
      <c r="Y13" s="215"/>
      <c r="Z13" s="215"/>
      <c r="AA13" s="215"/>
      <c r="AB13" s="215"/>
      <c r="AC13" s="215"/>
      <c r="AD13" s="215"/>
      <c r="AE13" s="215"/>
      <c r="AF13" s="518"/>
      <c r="AG13" s="215"/>
      <c r="AH13" s="215"/>
      <c r="AI13" s="215"/>
      <c r="AJ13" s="215"/>
      <c r="AK13" s="215"/>
      <c r="AL13" s="215"/>
      <c r="AM13" s="215"/>
      <c r="AN13" s="215"/>
      <c r="AO13" s="518"/>
      <c r="AP13" s="215"/>
      <c r="AQ13" s="519"/>
      <c r="AS13" s="128"/>
      <c r="AT13" s="128" t="str">
        <f t="shared" si="16"/>
        <v xml:space="preserve">Добавить группу потребителей</v>
      </c>
      <c r="AU13" s="128"/>
      <c r="AV13" s="128"/>
    </row>
    <row r="14" ht="14.25" hidden="1" customHeight="1">
      <c r="A14" s="265"/>
      <c r="B14" s="265"/>
      <c r="C14" s="265"/>
      <c r="D14" s="265"/>
      <c r="E14" s="589"/>
      <c r="F14" s="589"/>
      <c r="G14" s="589"/>
      <c r="H14" s="588"/>
      <c r="I14" s="265"/>
      <c r="J14" s="265"/>
      <c r="K14" s="265"/>
      <c r="L14" s="265"/>
      <c r="M14" s="321"/>
      <c r="N14" s="322"/>
      <c r="O14" s="322"/>
      <c r="P14" s="50"/>
      <c r="Q14" s="142"/>
      <c r="R14" s="520"/>
      <c r="S14" s="482"/>
      <c r="T14" s="142"/>
      <c r="U14" s="582"/>
      <c r="V14" s="583"/>
      <c r="W14" s="584"/>
      <c r="X14" s="584"/>
      <c r="Y14" s="584"/>
      <c r="Z14" s="584"/>
      <c r="AA14" s="584"/>
      <c r="AB14" s="584"/>
      <c r="AC14" s="584"/>
      <c r="AD14" s="584"/>
      <c r="AE14" s="584"/>
      <c r="AF14" s="584"/>
      <c r="AG14" s="584"/>
      <c r="AH14" s="584"/>
      <c r="AI14" s="584"/>
      <c r="AJ14" s="584"/>
      <c r="AK14" s="584"/>
      <c r="AL14" s="584"/>
      <c r="AM14" s="584"/>
      <c r="AN14" s="584"/>
      <c r="AO14" s="584"/>
      <c r="AP14" s="584"/>
      <c r="AQ14" s="585"/>
      <c r="AS14" s="128"/>
      <c r="AT14" s="128" t="str">
        <f t="shared" si="16"/>
        <v/>
      </c>
      <c r="AU14" s="128"/>
      <c r="AV14" s="128"/>
    </row>
    <row r="15" s="57" customFormat="1" ht="14.25" hidden="1" customHeight="1">
      <c r="A15" s="602"/>
      <c r="B15" s="602"/>
      <c r="C15" s="602"/>
      <c r="D15" s="602"/>
      <c r="E15" s="589"/>
      <c r="F15" s="589"/>
      <c r="G15" s="588"/>
      <c r="H15" s="602"/>
      <c r="I15" s="602"/>
      <c r="J15" s="602"/>
      <c r="K15" s="602"/>
      <c r="L15" s="602"/>
      <c r="M15" s="603"/>
      <c r="N15" s="604"/>
      <c r="O15" s="604"/>
      <c r="P15" s="130"/>
      <c r="Q15" s="166"/>
      <c r="R15" s="522"/>
      <c r="S15" s="166"/>
      <c r="T15" s="166"/>
      <c r="U15" s="523"/>
      <c r="V15" s="524" t="s">
        <v>404</v>
      </c>
      <c r="W15" s="525"/>
      <c r="X15" s="525"/>
      <c r="Y15" s="525"/>
      <c r="Z15" s="525"/>
      <c r="AA15" s="525"/>
      <c r="AB15" s="525"/>
      <c r="AC15" s="525"/>
      <c r="AD15" s="525"/>
      <c r="AE15" s="525"/>
      <c r="AF15" s="525"/>
      <c r="AG15" s="525"/>
      <c r="AH15" s="525"/>
      <c r="AI15" s="525"/>
      <c r="AJ15" s="525"/>
      <c r="AK15" s="525"/>
      <c r="AL15" s="525"/>
      <c r="AM15" s="525"/>
      <c r="AN15" s="525"/>
      <c r="AO15" s="525"/>
      <c r="AP15" s="525"/>
      <c r="AQ15" s="525"/>
      <c r="AS15" s="128"/>
      <c r="AT15" s="128" t="str">
        <f t="shared" si="16"/>
        <v xml:space="preserve">Добавить источник для дифференциации</v>
      </c>
      <c r="AU15" s="128"/>
      <c r="AV15" s="128"/>
    </row>
    <row r="16" s="57" customFormat="1" ht="14.25" hidden="1" customHeight="1">
      <c r="A16" s="602"/>
      <c r="B16" s="602"/>
      <c r="C16" s="602"/>
      <c r="D16" s="602"/>
      <c r="E16" s="589"/>
      <c r="F16" s="588"/>
      <c r="G16" s="602"/>
      <c r="H16" s="602"/>
      <c r="I16" s="602"/>
      <c r="J16" s="602"/>
      <c r="K16" s="602"/>
      <c r="L16" s="602"/>
      <c r="M16" s="603"/>
      <c r="N16" s="605"/>
      <c r="O16" s="605"/>
      <c r="P16" s="130"/>
      <c r="Q16" s="166"/>
      <c r="R16" s="522"/>
      <c r="S16" s="166"/>
      <c r="T16" s="166"/>
      <c r="U16" s="527"/>
      <c r="V16" s="528" t="s">
        <v>405</v>
      </c>
      <c r="W16" s="529"/>
      <c r="X16" s="529"/>
      <c r="Y16" s="529"/>
      <c r="Z16" s="529"/>
      <c r="AA16" s="529"/>
      <c r="AB16" s="529"/>
      <c r="AC16" s="529"/>
      <c r="AD16" s="529"/>
      <c r="AE16" s="529"/>
      <c r="AF16" s="529"/>
      <c r="AG16" s="529"/>
      <c r="AH16" s="529"/>
      <c r="AI16" s="529"/>
      <c r="AJ16" s="529"/>
      <c r="AK16" s="529"/>
      <c r="AL16" s="529"/>
      <c r="AM16" s="529"/>
      <c r="AN16" s="529"/>
      <c r="AO16" s="529"/>
      <c r="AP16" s="529"/>
      <c r="AQ16" s="529"/>
      <c r="AS16" s="128"/>
      <c r="AT16" s="128" t="str">
        <f t="shared" si="16"/>
        <v xml:space="preserve">Добавить централизованную систему для дифференциации</v>
      </c>
      <c r="AU16" s="128"/>
      <c r="AV16" s="128"/>
    </row>
    <row r="17" s="57" customFormat="1" ht="14.25" hidden="1" customHeight="1">
      <c r="A17" s="602"/>
      <c r="B17" s="602"/>
      <c r="C17" s="602"/>
      <c r="D17" s="602"/>
      <c r="E17" s="588"/>
      <c r="F17" s="602"/>
      <c r="G17" s="602"/>
      <c r="H17" s="602"/>
      <c r="I17" s="602"/>
      <c r="J17" s="602"/>
      <c r="K17" s="602"/>
      <c r="L17" s="602"/>
      <c r="M17" s="603"/>
      <c r="N17" s="605"/>
      <c r="O17" s="605"/>
      <c r="P17" s="130"/>
      <c r="Q17" s="166"/>
      <c r="R17" s="522"/>
      <c r="S17" s="166"/>
      <c r="T17" s="166"/>
      <c r="U17" s="527"/>
      <c r="V17" s="530" t="s">
        <v>406</v>
      </c>
      <c r="W17" s="529"/>
      <c r="X17" s="529"/>
      <c r="Y17" s="529"/>
      <c r="Z17" s="529"/>
      <c r="AA17" s="529"/>
      <c r="AB17" s="529"/>
      <c r="AC17" s="529"/>
      <c r="AD17" s="529"/>
      <c r="AE17" s="529"/>
      <c r="AF17" s="529"/>
      <c r="AG17" s="529"/>
      <c r="AH17" s="529"/>
      <c r="AI17" s="529"/>
      <c r="AJ17" s="529"/>
      <c r="AK17" s="529"/>
      <c r="AL17" s="529"/>
      <c r="AM17" s="529"/>
      <c r="AN17" s="529"/>
      <c r="AO17" s="529"/>
      <c r="AP17" s="529"/>
      <c r="AQ17" s="529"/>
      <c r="AS17" s="128"/>
      <c r="AT17" s="128" t="str">
        <f t="shared" si="16"/>
        <v xml:space="preserve">Добавить территорию для дифференциации</v>
      </c>
      <c r="AU17" s="128"/>
      <c r="AV17" s="128"/>
    </row>
    <row r="18" ht="14.25" hidden="1" customHeight="1">
      <c r="AF18" s="50"/>
      <c r="AO18" s="50"/>
    </row>
    <row r="19" ht="14.25" hidden="1" customHeight="1">
      <c r="AG19" s="531"/>
      <c r="AH19" s="531"/>
      <c r="AI19" s="531"/>
      <c r="AJ19" s="531"/>
      <c r="AK19" s="532"/>
      <c r="AL19" s="533"/>
      <c r="AM19" s="534" t="s">
        <v>56</v>
      </c>
      <c r="AN19" s="533"/>
      <c r="AO19" s="534" t="s">
        <v>56</v>
      </c>
    </row>
    <row r="20" ht="14.25" hidden="1" customHeight="1">
      <c r="AG20" s="531"/>
      <c r="AH20" s="531"/>
      <c r="AI20" s="531"/>
      <c r="AJ20" s="531"/>
      <c r="AK20" s="532"/>
      <c r="AL20" s="533"/>
      <c r="AM20" s="534"/>
      <c r="AN20" s="533"/>
      <c r="AO20" s="534"/>
    </row>
    <row r="21" ht="14.25" hidden="1" customHeight="1">
      <c r="AG21" s="531"/>
      <c r="AH21" s="531"/>
      <c r="AI21" s="531"/>
      <c r="AJ21" s="531"/>
      <c r="AK21" s="532"/>
      <c r="AL21" s="533"/>
      <c r="AM21" s="534"/>
      <c r="AN21" s="533"/>
      <c r="AO21" s="534"/>
    </row>
    <row r="22" ht="14.25" hidden="1" customHeight="1">
      <c r="AG22" s="531"/>
      <c r="AH22" s="531"/>
      <c r="AI22" s="531"/>
      <c r="AJ22" s="531"/>
      <c r="AK22" s="510" t="str">
        <f>AL19&amp;"-"&amp;AN19</f>
        <v>-</v>
      </c>
      <c r="AL22" s="534"/>
      <c r="AM22" s="534"/>
      <c r="AN22" s="534"/>
      <c r="AO22" s="534"/>
    </row>
    <row r="23" ht="14.25" hidden="1" customHeight="1">
      <c r="AO23" s="50"/>
    </row>
    <row r="24" s="53" customFormat="1" ht="22.5" hidden="1" customHeight="1">
      <c r="A24" s="50"/>
      <c r="B24" s="50"/>
      <c r="C24" s="50"/>
      <c r="D24" s="50"/>
      <c r="E24" s="50"/>
      <c r="F24" s="50"/>
      <c r="G24" s="50"/>
      <c r="H24" s="50"/>
      <c r="I24" s="50"/>
      <c r="J24" s="50"/>
      <c r="K24" s="50"/>
      <c r="L24" s="50"/>
      <c r="M24" s="51"/>
      <c r="N24" s="60"/>
      <c r="O24" s="60"/>
      <c r="P24" s="606" t="s">
        <v>407</v>
      </c>
      <c r="Q24" s="61"/>
      <c r="R24" s="536"/>
      <c r="S24" s="536"/>
      <c r="T24" s="536"/>
      <c r="U24" s="481"/>
      <c r="AC24" s="535"/>
      <c r="AE24" s="535"/>
      <c r="AF24" s="53"/>
      <c r="AL24" s="535"/>
      <c r="AN24" s="535"/>
      <c r="AO24" s="53"/>
      <c r="AR24" s="57"/>
      <c r="AS24" s="57"/>
      <c r="AT24" s="57"/>
      <c r="AU24" s="57"/>
      <c r="AV24" s="57"/>
    </row>
    <row r="25" s="53" customFormat="1" ht="14.25" hidden="1" customHeight="1">
      <c r="A25" s="50"/>
      <c r="B25" s="50"/>
      <c r="C25" s="50"/>
      <c r="D25" s="50"/>
      <c r="E25" s="50"/>
      <c r="F25" s="50"/>
      <c r="G25" s="50"/>
      <c r="H25" s="50"/>
      <c r="I25" s="50"/>
      <c r="J25" s="50"/>
      <c r="K25" s="50"/>
      <c r="L25" s="50"/>
      <c r="M25" s="51"/>
      <c r="N25" s="60"/>
      <c r="O25" s="60"/>
      <c r="P25" s="60"/>
      <c r="Q25" s="61"/>
      <c r="R25" s="536"/>
      <c r="S25" s="536"/>
      <c r="T25" s="536"/>
      <c r="U25" s="481"/>
      <c r="AF25" s="53"/>
      <c r="AO25" s="53"/>
      <c r="AR25" s="57"/>
      <c r="AS25" s="57"/>
      <c r="AT25" s="57"/>
      <c r="AU25" s="57"/>
      <c r="AV25" s="57"/>
    </row>
    <row r="26" s="53" customFormat="1" ht="14.25" hidden="1" customHeight="1">
      <c r="A26" s="50"/>
      <c r="B26" s="50"/>
      <c r="C26" s="50"/>
      <c r="D26" s="50"/>
      <c r="E26" s="50"/>
      <c r="F26" s="50"/>
      <c r="G26" s="50"/>
      <c r="H26" s="50"/>
      <c r="I26" s="50"/>
      <c r="J26" s="50"/>
      <c r="K26" s="50"/>
      <c r="L26" s="50"/>
      <c r="M26" s="51"/>
      <c r="N26" s="60"/>
      <c r="O26" s="60"/>
      <c r="P26" s="321" t="s">
        <v>408</v>
      </c>
      <c r="Q26" s="61"/>
      <c r="R26" s="536"/>
      <c r="S26" s="536"/>
      <c r="T26" s="536"/>
      <c r="U26" s="481"/>
      <c r="V26" s="53" t="s">
        <v>409</v>
      </c>
      <c r="AD26" s="150" t="s">
        <v>410</v>
      </c>
      <c r="AF26" s="150" t="s">
        <v>411</v>
      </c>
      <c r="AG26" s="53" t="s">
        <v>409</v>
      </c>
      <c r="AM26" s="150" t="s">
        <v>412</v>
      </c>
      <c r="AO26" s="150" t="s">
        <v>411</v>
      </c>
      <c r="AR26" s="57"/>
      <c r="AS26" s="57"/>
      <c r="AT26" s="57"/>
      <c r="AU26" s="57"/>
      <c r="AV26" s="57"/>
    </row>
    <row r="27" ht="14.25" hidden="1" customHeight="1">
      <c r="P27" s="321"/>
    </row>
    <row r="28" ht="14.25" hidden="1" customHeight="1">
      <c r="P28" s="321"/>
    </row>
    <row r="29" ht="14.25" customHeight="1">
      <c r="R29" s="537"/>
      <c r="S29" s="537"/>
      <c r="T29" s="537"/>
      <c r="U29" s="538"/>
      <c r="V29" s="89"/>
      <c r="W29" s="89"/>
      <c r="X29" s="50"/>
      <c r="Y29" s="50"/>
      <c r="Z29" s="50"/>
      <c r="AA29" s="50"/>
      <c r="AB29" s="50"/>
      <c r="AC29" s="50"/>
      <c r="AD29" s="50"/>
      <c r="AE29" s="50"/>
      <c r="AF29" s="50"/>
      <c r="AG29" s="50"/>
      <c r="AH29" s="50"/>
      <c r="AI29" s="50"/>
      <c r="AJ29" s="50"/>
      <c r="AK29" s="50"/>
      <c r="AL29" s="50"/>
      <c r="AM29" s="50"/>
      <c r="AN29" s="50"/>
      <c r="AO29" s="50"/>
    </row>
    <row r="30" ht="54" customHeight="1">
      <c r="R30" s="537"/>
      <c r="S30" s="537"/>
      <c r="T30" s="537"/>
      <c r="U30" s="451" t="str">
        <f>IF(TEMPLATE_GROUP="P",PT_P_FORM_HEAT_6_NAME_FORM,PT_R_FORM_HEAT_23_NAME_FORM)</f>
        <v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51"/>
      <c r="W30" s="451"/>
      <c r="X30" s="451"/>
      <c r="Y30" s="451"/>
      <c r="Z30" s="451"/>
      <c r="AA30" s="451"/>
      <c r="AB30" s="451"/>
      <c r="AC30" s="451"/>
      <c r="AD30" s="451"/>
      <c r="AE30" s="451"/>
      <c r="AF30" s="451"/>
      <c r="AG30" s="451"/>
      <c r="AH30" s="451"/>
      <c r="AI30" s="451"/>
      <c r="AJ30" s="451"/>
      <c r="AK30" s="451"/>
      <c r="AL30" s="451"/>
      <c r="AM30" s="451"/>
      <c r="AN30" s="451"/>
      <c r="AO30" s="241"/>
    </row>
    <row r="31" ht="14.25" customHeight="1">
      <c r="R31" s="537"/>
      <c r="S31" s="537"/>
      <c r="T31" s="537"/>
      <c r="U31" s="302" t="str">
        <f>IF(org=0,"Не определено",org)</f>
        <v xml:space="preserve">филиал ПАО "ОГК-2" - Адлерская ТЭС</v>
      </c>
      <c r="V31" s="302"/>
      <c r="W31" s="302"/>
      <c r="X31" s="302"/>
      <c r="Y31" s="302"/>
      <c r="Z31" s="302"/>
      <c r="AA31" s="302"/>
      <c r="AB31" s="302"/>
      <c r="AC31" s="302"/>
      <c r="AD31" s="302"/>
      <c r="AE31" s="302"/>
      <c r="AF31" s="302"/>
      <c r="AG31" s="302"/>
      <c r="AH31" s="302"/>
      <c r="AI31" s="302"/>
      <c r="AJ31" s="302"/>
      <c r="AK31" s="302"/>
      <c r="AL31" s="302"/>
      <c r="AM31" s="302"/>
      <c r="AN31" s="302"/>
      <c r="AO31" s="241"/>
    </row>
    <row r="32" ht="14.25" hidden="1" customHeight="1">
      <c r="R32" s="537"/>
      <c r="S32" s="537"/>
      <c r="T32" s="537"/>
      <c r="U32" s="538"/>
      <c r="V32" s="89"/>
      <c r="W32" s="89"/>
      <c r="X32" s="539"/>
      <c r="Y32" s="539"/>
      <c r="Z32" s="539"/>
      <c r="AA32" s="539"/>
      <c r="AB32" s="539"/>
      <c r="AC32" s="539"/>
      <c r="AD32" s="539"/>
      <c r="AE32" s="539"/>
      <c r="AF32" s="539"/>
      <c r="AG32" s="539"/>
      <c r="AH32" s="539"/>
      <c r="AI32" s="539"/>
      <c r="AJ32" s="539"/>
      <c r="AK32" s="539"/>
      <c r="AL32" s="539"/>
      <c r="AM32" s="539"/>
      <c r="AN32" s="539"/>
      <c r="AO32" s="539"/>
      <c r="AP32" s="50"/>
    </row>
    <row r="33" s="185" customFormat="1" ht="25.5" hidden="1" customHeight="1">
      <c r="A33" s="106"/>
      <c r="B33" s="106"/>
      <c r="C33" s="106"/>
      <c r="D33" s="106"/>
      <c r="E33" s="106"/>
      <c r="F33" s="106"/>
      <c r="G33" s="106"/>
      <c r="H33" s="106"/>
      <c r="I33" s="106"/>
      <c r="J33" s="106"/>
      <c r="K33" s="106"/>
      <c r="L33" s="106"/>
      <c r="M33" s="321"/>
      <c r="N33" s="106"/>
      <c r="O33" s="106"/>
      <c r="P33" s="106"/>
      <c r="U33" s="540" t="s">
        <v>38</v>
      </c>
      <c r="V33" s="540"/>
      <c r="W33" s="541"/>
      <c r="X33" s="542" t="str">
        <f>IF(TITLE_NAME_OR_PR_CHANGE="",IF(TITLE_NAME_OR_PR="","",TITLE_NAME_OR_PR),TITLE_NAME_OR_PR_CHANGE)</f>
        <v/>
      </c>
      <c r="Y33" s="542"/>
      <c r="Z33" s="542"/>
      <c r="AA33" s="542"/>
      <c r="AB33" s="542"/>
      <c r="AC33" s="542"/>
      <c r="AD33" s="542"/>
      <c r="AE33" s="542"/>
      <c r="AF33" s="50"/>
      <c r="AG33" s="542" t="str">
        <f>IF(TITLE_NAME_OR_PR_CHANGE="",IF(TITLE_NAME_OR_PR="","",TITLE_NAME_OR_PR),TITLE_NAME_OR_PR_CHANGE)</f>
        <v/>
      </c>
      <c r="AH33" s="542"/>
      <c r="AI33" s="542"/>
      <c r="AJ33" s="542"/>
      <c r="AK33" s="542"/>
      <c r="AL33" s="542"/>
      <c r="AM33" s="542"/>
      <c r="AN33" s="542"/>
      <c r="AO33" s="50"/>
      <c r="AP33" s="50"/>
      <c r="AQ33" s="543"/>
      <c r="AR33" s="128"/>
      <c r="AS33" s="128"/>
      <c r="AT33" s="128"/>
      <c r="AU33" s="128"/>
      <c r="AV33" s="128"/>
    </row>
    <row r="34" s="185" customFormat="1" ht="18.75" hidden="1" customHeight="1">
      <c r="A34" s="106"/>
      <c r="B34" s="106"/>
      <c r="C34" s="106"/>
      <c r="D34" s="106"/>
      <c r="E34" s="106"/>
      <c r="F34" s="106"/>
      <c r="G34" s="106"/>
      <c r="H34" s="106"/>
      <c r="I34" s="106"/>
      <c r="J34" s="106"/>
      <c r="K34" s="106"/>
      <c r="L34" s="106"/>
      <c r="M34" s="321"/>
      <c r="N34" s="106"/>
      <c r="O34" s="106"/>
      <c r="P34" s="106"/>
      <c r="U34" s="540" t="s">
        <v>413</v>
      </c>
      <c r="V34" s="540"/>
      <c r="W34" s="541"/>
      <c r="X34" s="544" t="str">
        <f>IF(TITLE_DATE_PR_CHANGE="",IF(TITLE_DATE_PR="","",TITLE_DATE_PR),TITLE_DATE_PR_CHANGE)</f>
        <v/>
      </c>
      <c r="Y34" s="544"/>
      <c r="Z34" s="544"/>
      <c r="AA34" s="544"/>
      <c r="AB34" s="544"/>
      <c r="AC34" s="544"/>
      <c r="AD34" s="544"/>
      <c r="AE34" s="544"/>
      <c r="AF34" s="50"/>
      <c r="AG34" s="544" t="str">
        <f>IF(TITLE_DATE_PR_CHANGE="",IF(TITLE_DATE_PR="","",TITLE_DATE_PR),TITLE_DATE_PR_CHANGE)</f>
        <v/>
      </c>
      <c r="AH34" s="544"/>
      <c r="AI34" s="544"/>
      <c r="AJ34" s="544"/>
      <c r="AK34" s="544"/>
      <c r="AL34" s="544"/>
      <c r="AM34" s="544"/>
      <c r="AN34" s="544"/>
      <c r="AO34" s="50"/>
      <c r="AP34" s="50"/>
      <c r="AQ34" s="543"/>
      <c r="AR34" s="128"/>
      <c r="AS34" s="128"/>
      <c r="AT34" s="128"/>
      <c r="AU34" s="128"/>
      <c r="AV34" s="128"/>
    </row>
    <row r="35" s="185" customFormat="1" ht="18.75" hidden="1" customHeight="1">
      <c r="A35" s="106"/>
      <c r="B35" s="106"/>
      <c r="C35" s="106"/>
      <c r="D35" s="106"/>
      <c r="E35" s="106"/>
      <c r="F35" s="106"/>
      <c r="G35" s="106"/>
      <c r="H35" s="106"/>
      <c r="I35" s="106"/>
      <c r="J35" s="106"/>
      <c r="K35" s="106"/>
      <c r="L35" s="106"/>
      <c r="M35" s="321"/>
      <c r="N35" s="106"/>
      <c r="O35" s="106"/>
      <c r="P35" s="106"/>
      <c r="U35" s="540" t="s">
        <v>414</v>
      </c>
      <c r="V35" s="540"/>
      <c r="W35" s="541"/>
      <c r="X35" s="542" t="str">
        <f>IF(TITLE_NUMBER_PR_CHANGE="",IF(TITLE_NUMBER_PR="","",TITLE_NUMBER_PR),TITLE_NUMBER_PR_CHANGE)</f>
        <v/>
      </c>
      <c r="Y35" s="542"/>
      <c r="Z35" s="542"/>
      <c r="AA35" s="542"/>
      <c r="AB35" s="542"/>
      <c r="AC35" s="542"/>
      <c r="AD35" s="542"/>
      <c r="AE35" s="542"/>
      <c r="AF35" s="50"/>
      <c r="AG35" s="542" t="str">
        <f>IF(TITLE_NUMBER_PR_CHANGE="",IF(TITLE_NUMBER_PR="","",TITLE_NUMBER_PR),TITLE_NUMBER_PR_CHANGE)</f>
        <v/>
      </c>
      <c r="AH35" s="542"/>
      <c r="AI35" s="542"/>
      <c r="AJ35" s="542"/>
      <c r="AK35" s="542"/>
      <c r="AL35" s="542"/>
      <c r="AM35" s="542"/>
      <c r="AN35" s="542"/>
      <c r="AO35" s="50"/>
      <c r="AP35" s="50"/>
      <c r="AQ35" s="543"/>
      <c r="AR35" s="128"/>
      <c r="AS35" s="128"/>
      <c r="AT35" s="128"/>
      <c r="AU35" s="128"/>
      <c r="AV35" s="128"/>
    </row>
    <row r="36" s="185" customFormat="1" ht="18.75" hidden="1" customHeight="1">
      <c r="A36" s="106"/>
      <c r="B36" s="106"/>
      <c r="C36" s="106"/>
      <c r="D36" s="106"/>
      <c r="E36" s="106"/>
      <c r="F36" s="106"/>
      <c r="G36" s="106"/>
      <c r="H36" s="106"/>
      <c r="I36" s="106"/>
      <c r="J36" s="106"/>
      <c r="K36" s="106"/>
      <c r="L36" s="106"/>
      <c r="M36" s="321"/>
      <c r="N36" s="106"/>
      <c r="O36" s="106"/>
      <c r="P36" s="106"/>
      <c r="U36" s="540" t="s">
        <v>39</v>
      </c>
      <c r="V36" s="540"/>
      <c r="W36" s="541"/>
      <c r="X36" s="542" t="str">
        <f>IF(TITLE_IST_PUB_CHANGE="",IF(TITLE_IST_PUB="","",TITLE_IST_PUB),TITLE_IST_PUB_CHANGE)</f>
        <v/>
      </c>
      <c r="Y36" s="542"/>
      <c r="Z36" s="542"/>
      <c r="AA36" s="542"/>
      <c r="AB36" s="542"/>
      <c r="AC36" s="542"/>
      <c r="AD36" s="542"/>
      <c r="AE36" s="542"/>
      <c r="AF36" s="50"/>
      <c r="AG36" s="542" t="str">
        <f>IF(TITLE_IST_PUB_CHANGE="",IF(TITLE_IST_PUB="","",TITLE_IST_PUB),TITLE_IST_PUB_CHANGE)</f>
        <v/>
      </c>
      <c r="AH36" s="542"/>
      <c r="AI36" s="542"/>
      <c r="AJ36" s="542"/>
      <c r="AK36" s="542"/>
      <c r="AL36" s="542"/>
      <c r="AM36" s="542"/>
      <c r="AN36" s="542"/>
      <c r="AO36" s="50"/>
      <c r="AP36" s="50"/>
      <c r="AQ36" s="543"/>
      <c r="AR36" s="128"/>
      <c r="AS36" s="128"/>
      <c r="AT36" s="128"/>
      <c r="AU36" s="128"/>
      <c r="AV36" s="128"/>
    </row>
    <row r="37" ht="14.25" hidden="1" customHeight="1">
      <c r="R37" s="537"/>
      <c r="S37" s="537"/>
      <c r="T37" s="537"/>
      <c r="U37" s="538"/>
      <c r="V37" s="89"/>
      <c r="W37" s="89"/>
      <c r="X37" s="539"/>
      <c r="Y37" s="539"/>
      <c r="Z37" s="539"/>
      <c r="AA37" s="539"/>
      <c r="AB37" s="539"/>
      <c r="AC37" s="539"/>
      <c r="AD37" s="539"/>
      <c r="AE37" s="539"/>
      <c r="AF37" s="539"/>
      <c r="AG37" s="539"/>
      <c r="AH37" s="539"/>
      <c r="AI37" s="539"/>
      <c r="AJ37" s="539"/>
      <c r="AK37" s="539"/>
      <c r="AL37" s="539"/>
      <c r="AM37" s="539"/>
      <c r="AN37" s="539"/>
      <c r="AO37" s="539"/>
      <c r="AP37" s="50"/>
    </row>
    <row r="38" s="185" customFormat="1" ht="18.75" hidden="1" customHeight="1">
      <c r="A38" s="106"/>
      <c r="B38" s="106"/>
      <c r="C38" s="106"/>
      <c r="D38" s="106"/>
      <c r="E38" s="106"/>
      <c r="F38" s="106"/>
      <c r="G38" s="106"/>
      <c r="H38" s="106"/>
      <c r="I38" s="106"/>
      <c r="J38" s="106"/>
      <c r="K38" s="106"/>
      <c r="L38" s="106"/>
      <c r="M38" s="321"/>
      <c r="N38" s="106"/>
      <c r="O38" s="106"/>
      <c r="P38" s="106"/>
      <c r="U38" s="540" t="s">
        <v>415</v>
      </c>
      <c r="V38" s="540"/>
      <c r="W38" s="541"/>
      <c r="X38" s="544" t="str">
        <f>IF(TITLE_DATE_PR_CHANGE="",IF(TITLE_DATE_PR="","",TITLE_DATE_PR),TITLE_DATE_PR_CHANGE)</f>
        <v/>
      </c>
      <c r="Y38" s="544"/>
      <c r="Z38" s="544"/>
      <c r="AA38" s="544"/>
      <c r="AB38" s="544"/>
      <c r="AC38" s="544"/>
      <c r="AD38" s="544"/>
      <c r="AE38" s="544"/>
      <c r="AF38" s="50"/>
      <c r="AG38" s="544" t="str">
        <f>IF(TITLE_DATE_PR_CHANGE="",IF(TITLE_DATE_PR="","",TITLE_DATE_PR),TITLE_DATE_PR_CHANGE)</f>
        <v/>
      </c>
      <c r="AH38" s="544"/>
      <c r="AI38" s="544"/>
      <c r="AJ38" s="544"/>
      <c r="AK38" s="544"/>
      <c r="AL38" s="544"/>
      <c r="AM38" s="544"/>
      <c r="AN38" s="544"/>
      <c r="AO38" s="50"/>
      <c r="AP38" s="50"/>
      <c r="AQ38" s="543"/>
      <c r="AR38" s="128"/>
      <c r="AS38" s="128"/>
      <c r="AT38" s="128"/>
      <c r="AU38" s="128"/>
      <c r="AV38" s="128"/>
    </row>
    <row r="39" s="185" customFormat="1" ht="18.75" hidden="1" customHeight="1">
      <c r="A39" s="106"/>
      <c r="B39" s="106"/>
      <c r="C39" s="106"/>
      <c r="D39" s="106"/>
      <c r="E39" s="106"/>
      <c r="F39" s="106"/>
      <c r="G39" s="106"/>
      <c r="H39" s="106"/>
      <c r="I39" s="106"/>
      <c r="J39" s="106"/>
      <c r="K39" s="106"/>
      <c r="L39" s="106"/>
      <c r="M39" s="321"/>
      <c r="N39" s="106"/>
      <c r="O39" s="106"/>
      <c r="P39" s="106"/>
      <c r="U39" s="540" t="s">
        <v>416</v>
      </c>
      <c r="V39" s="540"/>
      <c r="W39" s="541"/>
      <c r="X39" s="542" t="str">
        <f>IF(TITLE_NUMBER_PR_CHANGE="",IF(TITLE_NUMBER_PR="","",TITLE_NUMBER_PR),TITLE_NUMBER_PR_CHANGE)</f>
        <v/>
      </c>
      <c r="Y39" s="542"/>
      <c r="Z39" s="542"/>
      <c r="AA39" s="542"/>
      <c r="AB39" s="542"/>
      <c r="AC39" s="542"/>
      <c r="AD39" s="542"/>
      <c r="AE39" s="542"/>
      <c r="AF39" s="50"/>
      <c r="AG39" s="542" t="str">
        <f>IF(TITLE_NUMBER_PR_CHANGE="",IF(TITLE_NUMBER_PR="","",TITLE_NUMBER_PR),TITLE_NUMBER_PR_CHANGE)</f>
        <v/>
      </c>
      <c r="AH39" s="542"/>
      <c r="AI39" s="542"/>
      <c r="AJ39" s="542"/>
      <c r="AK39" s="542"/>
      <c r="AL39" s="542"/>
      <c r="AM39" s="542"/>
      <c r="AN39" s="542"/>
      <c r="AO39" s="50"/>
      <c r="AP39" s="50"/>
      <c r="AQ39" s="543"/>
      <c r="AR39" s="128"/>
      <c r="AS39" s="128"/>
      <c r="AT39" s="128"/>
      <c r="AU39" s="128"/>
      <c r="AV39" s="128"/>
    </row>
    <row r="40" s="185" customFormat="1" ht="0" customHeight="1">
      <c r="A40" s="106"/>
      <c r="B40" s="106"/>
      <c r="C40" s="106"/>
      <c r="D40" s="106"/>
      <c r="E40" s="106"/>
      <c r="F40" s="106"/>
      <c r="G40" s="106"/>
      <c r="H40" s="106"/>
      <c r="I40" s="106"/>
      <c r="J40" s="106"/>
      <c r="K40" s="106"/>
      <c r="L40" s="106"/>
      <c r="M40" s="321"/>
      <c r="N40" s="106"/>
      <c r="O40" s="106"/>
      <c r="P40" s="106"/>
      <c r="U40" s="50"/>
      <c r="V40" s="50"/>
      <c r="W40" s="139"/>
      <c r="X40" s="50"/>
      <c r="Y40" s="50"/>
      <c r="Z40" s="50"/>
      <c r="AA40" s="50"/>
      <c r="AB40" s="50"/>
      <c r="AC40" s="50"/>
      <c r="AD40" s="50"/>
      <c r="AE40" s="50"/>
      <c r="AF40" s="57" t="s">
        <v>417</v>
      </c>
      <c r="AG40" s="50"/>
      <c r="AH40" s="50"/>
      <c r="AI40" s="50"/>
      <c r="AJ40" s="50"/>
      <c r="AK40" s="50"/>
      <c r="AL40" s="50"/>
      <c r="AM40" s="50"/>
      <c r="AN40" s="50"/>
      <c r="AO40" s="57" t="s">
        <v>417</v>
      </c>
      <c r="AR40" s="128"/>
      <c r="AS40" s="128"/>
      <c r="AT40" s="128"/>
      <c r="AU40" s="128"/>
      <c r="AV40" s="128"/>
    </row>
    <row r="41" ht="14.25" customHeight="1">
      <c r="R41" s="537"/>
      <c r="S41" s="537"/>
      <c r="T41" s="537"/>
      <c r="U41" s="538"/>
      <c r="V41" s="89"/>
      <c r="W41" s="545"/>
      <c r="X41" s="546"/>
      <c r="Y41" s="546"/>
      <c r="Z41" s="546"/>
      <c r="AA41" s="546"/>
      <c r="AB41" s="546"/>
      <c r="AC41" s="546"/>
      <c r="AD41" s="546"/>
      <c r="AE41" s="546"/>
      <c r="AF41" s="546"/>
      <c r="AG41" s="546"/>
      <c r="AH41" s="546"/>
      <c r="AI41" s="546"/>
      <c r="AJ41" s="546"/>
      <c r="AK41" s="546"/>
      <c r="AL41" s="546"/>
      <c r="AM41" s="546"/>
      <c r="AN41" s="546"/>
      <c r="AO41" s="546"/>
    </row>
    <row r="42" ht="14.25" customHeight="1">
      <c r="R42" s="537"/>
      <c r="S42" s="537"/>
      <c r="T42" s="537"/>
      <c r="U42" s="156" t="s">
        <v>288</v>
      </c>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t="s">
        <v>289</v>
      </c>
    </row>
    <row r="43" ht="14.25" customHeight="1">
      <c r="R43" s="537"/>
      <c r="S43" s="537"/>
      <c r="T43" s="537"/>
      <c r="U43" s="483" t="s">
        <v>85</v>
      </c>
      <c r="V43" s="347" t="s">
        <v>418</v>
      </c>
      <c r="W43" s="547"/>
      <c r="X43" s="548" t="s">
        <v>419</v>
      </c>
      <c r="Y43" s="574"/>
      <c r="Z43" s="574"/>
      <c r="AA43" s="574"/>
      <c r="AB43" s="574"/>
      <c r="AC43" s="549"/>
      <c r="AD43" s="549"/>
      <c r="AE43" s="550"/>
      <c r="AF43" s="551" t="s">
        <v>420</v>
      </c>
      <c r="AG43" s="548" t="s">
        <v>419</v>
      </c>
      <c r="AH43" s="574"/>
      <c r="AI43" s="574"/>
      <c r="AJ43" s="574"/>
      <c r="AK43" s="574"/>
      <c r="AL43" s="549"/>
      <c r="AM43" s="549"/>
      <c r="AN43" s="550"/>
      <c r="AO43" s="551" t="s">
        <v>421</v>
      </c>
      <c r="AP43" s="552" t="s">
        <v>422</v>
      </c>
      <c r="AQ43" s="156"/>
    </row>
    <row r="44" ht="33.75" customHeight="1">
      <c r="R44" s="537"/>
      <c r="S44" s="537"/>
      <c r="T44" s="537"/>
      <c r="U44" s="483"/>
      <c r="V44" s="347"/>
      <c r="W44" s="553"/>
      <c r="X44" s="303" t="s">
        <v>444</v>
      </c>
      <c r="Y44" s="156" t="s">
        <v>445</v>
      </c>
      <c r="Z44" s="156"/>
      <c r="AA44" s="156"/>
      <c r="AB44" s="156"/>
      <c r="AC44" s="303" t="s">
        <v>426</v>
      </c>
      <c r="AD44" s="607"/>
      <c r="AE44" s="304"/>
      <c r="AF44" s="555"/>
      <c r="AG44" s="303" t="s">
        <v>444</v>
      </c>
      <c r="AH44" s="156" t="s">
        <v>445</v>
      </c>
      <c r="AI44" s="156"/>
      <c r="AJ44" s="156"/>
      <c r="AK44" s="156"/>
      <c r="AL44" s="303" t="s">
        <v>426</v>
      </c>
      <c r="AM44" s="607"/>
      <c r="AN44" s="304"/>
      <c r="AO44" s="555"/>
      <c r="AP44" s="556"/>
      <c r="AQ44" s="156"/>
    </row>
    <row r="45" ht="14.25" customHeight="1">
      <c r="R45" s="537"/>
      <c r="S45" s="537"/>
      <c r="T45" s="537"/>
      <c r="U45" s="483"/>
      <c r="V45" s="347"/>
      <c r="W45" s="553"/>
      <c r="X45" s="307"/>
      <c r="Y45" s="417" t="s">
        <v>446</v>
      </c>
      <c r="Z45" s="414" t="s">
        <v>447</v>
      </c>
      <c r="AA45" s="415"/>
      <c r="AB45" s="416"/>
      <c r="AC45" s="309"/>
      <c r="AD45" s="608"/>
      <c r="AE45" s="310"/>
      <c r="AF45" s="555"/>
      <c r="AG45" s="307"/>
      <c r="AH45" s="417" t="s">
        <v>446</v>
      </c>
      <c r="AI45" s="414" t="s">
        <v>447</v>
      </c>
      <c r="AJ45" s="415"/>
      <c r="AK45" s="416"/>
      <c r="AL45" s="309"/>
      <c r="AM45" s="608"/>
      <c r="AN45" s="310"/>
      <c r="AO45" s="555"/>
      <c r="AP45" s="556"/>
      <c r="AQ45" s="156"/>
    </row>
    <row r="46" ht="25.5" customHeight="1">
      <c r="R46" s="537"/>
      <c r="S46" s="537"/>
      <c r="T46" s="537"/>
      <c r="U46" s="483"/>
      <c r="V46" s="347"/>
      <c r="W46" s="553"/>
      <c r="X46" s="307"/>
      <c r="Y46" s="609"/>
      <c r="Z46" s="417" t="s">
        <v>448</v>
      </c>
      <c r="AA46" s="414" t="s">
        <v>449</v>
      </c>
      <c r="AB46" s="416"/>
      <c r="AC46" s="417" t="s">
        <v>436</v>
      </c>
      <c r="AD46" s="418" t="s">
        <v>437</v>
      </c>
      <c r="AE46" s="419"/>
      <c r="AF46" s="555"/>
      <c r="AG46" s="307"/>
      <c r="AH46" s="609"/>
      <c r="AI46" s="417" t="s">
        <v>448</v>
      </c>
      <c r="AJ46" s="414" t="s">
        <v>449</v>
      </c>
      <c r="AK46" s="416"/>
      <c r="AL46" s="417" t="s">
        <v>436</v>
      </c>
      <c r="AM46" s="418" t="s">
        <v>437</v>
      </c>
      <c r="AN46" s="419"/>
      <c r="AO46" s="555"/>
      <c r="AP46" s="556"/>
      <c r="AQ46" s="156"/>
    </row>
    <row r="47" ht="62.25" customHeight="1">
      <c r="A47" s="106"/>
      <c r="B47" s="106" t="s">
        <v>137</v>
      </c>
      <c r="C47" s="106" t="s">
        <v>138</v>
      </c>
      <c r="D47" s="106" t="s">
        <v>139</v>
      </c>
      <c r="E47" s="321" t="s">
        <v>427</v>
      </c>
      <c r="F47" s="321" t="s">
        <v>428</v>
      </c>
      <c r="G47" s="321" t="s">
        <v>429</v>
      </c>
      <c r="H47" s="321" t="s">
        <v>430</v>
      </c>
      <c r="I47" s="321" t="s">
        <v>431</v>
      </c>
      <c r="J47" s="321" t="s">
        <v>432</v>
      </c>
      <c r="K47" s="321" t="s">
        <v>433</v>
      </c>
      <c r="L47" s="321" t="s">
        <v>450</v>
      </c>
      <c r="M47" s="321" t="s">
        <v>408</v>
      </c>
      <c r="R47" s="537"/>
      <c r="S47" s="537"/>
      <c r="T47" s="537"/>
      <c r="U47" s="483"/>
      <c r="V47" s="347"/>
      <c r="W47" s="557"/>
      <c r="X47" s="309"/>
      <c r="Y47" s="420"/>
      <c r="Z47" s="420"/>
      <c r="AA47" s="247" t="s">
        <v>451</v>
      </c>
      <c r="AB47" s="247" t="s">
        <v>452</v>
      </c>
      <c r="AC47" s="420"/>
      <c r="AD47" s="421"/>
      <c r="AE47" s="422"/>
      <c r="AF47" s="559"/>
      <c r="AG47" s="309"/>
      <c r="AH47" s="420"/>
      <c r="AI47" s="420"/>
      <c r="AJ47" s="247" t="s">
        <v>451</v>
      </c>
      <c r="AK47" s="247" t="s">
        <v>452</v>
      </c>
      <c r="AL47" s="420"/>
      <c r="AM47" s="421"/>
      <c r="AN47" s="422"/>
      <c r="AO47" s="559"/>
      <c r="AP47" s="560"/>
      <c r="AQ47" s="156"/>
    </row>
    <row r="48" s="130" customFormat="1" ht="11.25" hidden="1" customHeight="1">
      <c r="A48" s="106"/>
      <c r="B48" s="106"/>
      <c r="C48" s="106"/>
      <c r="D48" s="106"/>
      <c r="E48" s="106"/>
      <c r="F48" s="106"/>
      <c r="G48" s="106"/>
      <c r="H48" s="106"/>
      <c r="I48" s="106"/>
      <c r="J48" s="106"/>
      <c r="K48" s="106"/>
      <c r="L48" s="106"/>
      <c r="M48" s="321"/>
      <c r="N48" s="60"/>
      <c r="O48" s="60"/>
      <c r="P48" s="60"/>
      <c r="Q48" s="561"/>
      <c r="R48" s="562"/>
      <c r="S48" s="563">
        <v>1</v>
      </c>
      <c r="T48" s="563"/>
      <c r="U48" s="564" t="s">
        <v>111</v>
      </c>
      <c r="V48" s="565" t="s">
        <v>99</v>
      </c>
      <c r="W48" s="566" t="str">
        <f ca="1">OFFSET(W48,0,-1)</f>
        <v>2</v>
      </c>
      <c r="X48" s="567">
        <f ca="1">OFFSET(X48,0,-1)+1</f>
        <v>3</v>
      </c>
      <c r="Y48" s="425"/>
      <c r="Z48" s="425"/>
      <c r="AA48" s="425">
        <f ca="1">OFFSET(AA48,0,-1)+1</f>
        <v>1</v>
      </c>
      <c r="AB48" s="425">
        <f ca="1">OFFSET(AB48,0,-1)+1</f>
        <v>2</v>
      </c>
      <c r="AC48" s="567">
        <f ca="1">OFFSET(AC48,0,-1)+1</f>
        <v>3</v>
      </c>
      <c r="AD48" s="567">
        <f ca="1">OFFSET(AD48,0,-1)+1</f>
        <v>4</v>
      </c>
      <c r="AE48" s="567"/>
      <c r="AF48" s="567">
        <f ca="1">OFFSET(AF48,0,-2)+1</f>
        <v>5</v>
      </c>
      <c r="AG48" s="567">
        <f ca="1">OFFSET(AG48,0,-1)+1</f>
        <v>6</v>
      </c>
      <c r="AH48" s="567"/>
      <c r="AI48" s="567"/>
      <c r="AJ48" s="567">
        <f ca="1">OFFSET(AJ48,0,-1)+1</f>
        <v>1</v>
      </c>
      <c r="AK48" s="567">
        <f ca="1">OFFSET(AK48,0,-1)+1</f>
        <v>2</v>
      </c>
      <c r="AL48" s="567">
        <f ca="1">OFFSET(AL48,0,-1)+1</f>
        <v>3</v>
      </c>
      <c r="AM48" s="567">
        <f ca="1">OFFSET(AM48,0,-1)+1</f>
        <v>4</v>
      </c>
      <c r="AN48" s="567"/>
      <c r="AO48" s="567">
        <f ca="1">OFFSET(AO48,0,-2)+1</f>
        <v>5</v>
      </c>
      <c r="AP48" s="566">
        <f ca="1">OFFSET(AP48,0,-1)</f>
        <v>5</v>
      </c>
      <c r="AQ48" s="567">
        <f ca="1">OFFSET(AQ48,0,-1)+1</f>
        <v>6</v>
      </c>
      <c r="AR48" s="57"/>
      <c r="AS48" s="57"/>
      <c r="AT48" s="57"/>
      <c r="AU48" s="57"/>
      <c r="AV48" s="57"/>
    </row>
    <row r="49" ht="21" customHeight="1">
      <c r="A49" s="265" t="s">
        <v>176</v>
      </c>
      <c r="B49" s="265"/>
      <c r="C49" s="265"/>
      <c r="D49" s="265"/>
      <c r="E49" s="588">
        <v>1</v>
      </c>
      <c r="F49" s="265"/>
      <c r="G49" s="265"/>
      <c r="H49" s="265"/>
      <c r="I49" s="265"/>
      <c r="J49" s="265"/>
      <c r="K49" s="265"/>
      <c r="L49" s="265"/>
      <c r="M49" s="321"/>
      <c r="N49" s="322"/>
      <c r="O49" s="322"/>
      <c r="P49" s="322"/>
      <c r="Q49" s="60"/>
      <c r="R49" s="142"/>
      <c r="S49" s="142"/>
      <c r="T49" s="482"/>
      <c r="U49" s="483">
        <f>INDEX(PT_DIFFERENTIATION_NUM_NTAR,MATCH(A49,PT_DIFFERENTIATION_NTAR_ID,0))</f>
        <v>0</v>
      </c>
      <c r="V49" s="484" t="s">
        <v>125</v>
      </c>
      <c r="W49" s="485"/>
      <c r="X49" s="486"/>
      <c r="Y49" s="487"/>
      <c r="Z49" s="487"/>
      <c r="AA49" s="487"/>
      <c r="AB49" s="487"/>
      <c r="AC49" s="487"/>
      <c r="AD49" s="487"/>
      <c r="AE49" s="487"/>
      <c r="AF49" s="488"/>
      <c r="AG49" s="486" t="str">
        <f>INDEX(PT_DIFFERENTIATION_NTAR,MATCH(A49,PT_DIFFERENTIATION_NTAR_ID,0))</f>
        <v/>
      </c>
      <c r="AH49" s="487"/>
      <c r="AI49" s="487"/>
      <c r="AJ49" s="487"/>
      <c r="AK49" s="487"/>
      <c r="AL49" s="487"/>
      <c r="AM49" s="487"/>
      <c r="AN49" s="487"/>
      <c r="AO49" s="487"/>
      <c r="AP49" s="488"/>
      <c r="AQ49" s="4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8"/>
      <c r="AT49" s="128" t="str">
        <f t="shared" si="16"/>
        <v xml:space="preserve">Наименование тарифа</v>
      </c>
      <c r="AU49" s="128"/>
      <c r="AV49" s="128"/>
    </row>
    <row r="50" ht="21" customHeight="1">
      <c r="A50" s="265" t="s">
        <v>176</v>
      </c>
      <c r="B50" s="265" t="s">
        <v>177</v>
      </c>
      <c r="C50" s="265"/>
      <c r="D50" s="265"/>
      <c r="E50" s="589"/>
      <c r="F50" s="588">
        <v>1</v>
      </c>
      <c r="G50" s="265"/>
      <c r="H50" s="265"/>
      <c r="I50" s="265"/>
      <c r="J50" s="265"/>
      <c r="K50" s="265"/>
      <c r="L50" s="265"/>
      <c r="M50" s="321"/>
      <c r="N50" s="322"/>
      <c r="O50" s="322"/>
      <c r="P50" s="322"/>
      <c r="Q50" s="51"/>
      <c r="R50" s="491"/>
      <c r="S50" s="50"/>
      <c r="T50" s="492"/>
      <c r="U50" s="483" t="str">
        <f>INDEX(PT_DIFFERENTIATION_NUM_TER,MATCH(B50,PT_DIFFERENTIATION_TER_ID,0))</f>
        <v>.</v>
      </c>
      <c r="V50" s="493" t="s">
        <v>387</v>
      </c>
      <c r="W50" s="485"/>
      <c r="X50" s="486"/>
      <c r="Y50" s="487"/>
      <c r="Z50" s="487"/>
      <c r="AA50" s="487"/>
      <c r="AB50" s="487"/>
      <c r="AC50" s="487"/>
      <c r="AD50" s="487"/>
      <c r="AE50" s="487"/>
      <c r="AF50" s="488"/>
      <c r="AG50" s="486" t="str">
        <f>INDEX(PT_DIFFERENTIATION_TER,MATCH(B50,PT_DIFFERENTIATION_TER_ID,0))</f>
        <v/>
      </c>
      <c r="AH50" s="487"/>
      <c r="AI50" s="487"/>
      <c r="AJ50" s="487"/>
      <c r="AK50" s="487"/>
      <c r="AL50" s="487"/>
      <c r="AM50" s="487"/>
      <c r="AN50" s="487"/>
      <c r="AO50" s="487"/>
      <c r="AP50" s="488"/>
      <c r="AQ50" s="489" t="s">
        <v>388</v>
      </c>
      <c r="AS50" s="128"/>
      <c r="AT50" s="128" t="str">
        <f t="shared" si="16"/>
        <v xml:space="preserve">Территория действия тарифа</v>
      </c>
      <c r="AU50" s="128"/>
      <c r="AV50" s="128"/>
    </row>
    <row r="51" ht="22.5" customHeight="1">
      <c r="A51" s="265" t="s">
        <v>176</v>
      </c>
      <c r="B51" s="265" t="s">
        <v>177</v>
      </c>
      <c r="C51" s="265" t="s">
        <v>178</v>
      </c>
      <c r="D51" s="265"/>
      <c r="E51" s="589"/>
      <c r="F51" s="589"/>
      <c r="G51" s="588">
        <v>1</v>
      </c>
      <c r="H51" s="265"/>
      <c r="I51" s="265"/>
      <c r="J51" s="265"/>
      <c r="K51" s="265"/>
      <c r="L51" s="265"/>
      <c r="M51" s="321"/>
      <c r="N51" s="322"/>
      <c r="O51" s="322"/>
      <c r="P51" s="322"/>
      <c r="Q51" s="494"/>
      <c r="R51" s="491"/>
      <c r="S51" s="50"/>
      <c r="T51" s="492"/>
      <c r="U51" s="483" t="str">
        <f>INDEX(PT_DIFFERENTIATION_NUM_CS,MATCH(C51,PT_DIFFERENTIATION_CS_ID,0))</f>
        <v>..</v>
      </c>
      <c r="V51" s="495" t="s">
        <v>389</v>
      </c>
      <c r="W51" s="485"/>
      <c r="X51" s="486"/>
      <c r="Y51" s="487"/>
      <c r="Z51" s="487"/>
      <c r="AA51" s="487"/>
      <c r="AB51" s="487"/>
      <c r="AC51" s="487"/>
      <c r="AD51" s="487"/>
      <c r="AE51" s="487"/>
      <c r="AF51" s="488"/>
      <c r="AG51" s="486" t="str">
        <f>INDEX(PT_DIFFERENTIATION_CS,MATCH(C51,PT_DIFFERENTIATION_CS_ID,0))</f>
        <v/>
      </c>
      <c r="AH51" s="487"/>
      <c r="AI51" s="487"/>
      <c r="AJ51" s="487"/>
      <c r="AK51" s="487"/>
      <c r="AL51" s="487"/>
      <c r="AM51" s="487"/>
      <c r="AN51" s="487"/>
      <c r="AO51" s="487"/>
      <c r="AP51" s="488"/>
      <c r="AQ51" s="489" t="s">
        <v>390</v>
      </c>
      <c r="AS51" s="128"/>
      <c r="AT51" s="128" t="str">
        <f t="shared" si="16"/>
        <v xml:space="preserve">Наименование системы теплоснабжения</v>
      </c>
      <c r="AU51" s="128"/>
      <c r="AV51" s="128"/>
    </row>
    <row r="52" ht="21" customHeight="1">
      <c r="A52" s="265" t="s">
        <v>176</v>
      </c>
      <c r="B52" s="265" t="s">
        <v>177</v>
      </c>
      <c r="C52" s="265" t="s">
        <v>178</v>
      </c>
      <c r="D52" s="265" t="s">
        <v>179</v>
      </c>
      <c r="E52" s="589"/>
      <c r="F52" s="589"/>
      <c r="G52" s="589"/>
      <c r="H52" s="588">
        <v>1</v>
      </c>
      <c r="I52" s="265"/>
      <c r="J52" s="265"/>
      <c r="K52" s="265"/>
      <c r="L52" s="265"/>
      <c r="M52" s="321"/>
      <c r="N52" s="322"/>
      <c r="O52" s="322"/>
      <c r="P52" s="322"/>
      <c r="Q52" s="494"/>
      <c r="R52" s="491"/>
      <c r="S52" s="50"/>
      <c r="T52" s="492"/>
      <c r="U52" s="483" t="str">
        <f>INDEX(PT_DIFFERENTIATION_NUM_IST_TE,MATCH(D52,PT_DIFFERENTIATION_IST_TE_ID,0))</f>
        <v>...</v>
      </c>
      <c r="V52" s="496" t="s">
        <v>391</v>
      </c>
      <c r="W52" s="485"/>
      <c r="X52" s="486"/>
      <c r="Y52" s="487"/>
      <c r="Z52" s="487"/>
      <c r="AA52" s="487"/>
      <c r="AB52" s="487"/>
      <c r="AC52" s="487"/>
      <c r="AD52" s="487"/>
      <c r="AE52" s="487"/>
      <c r="AF52" s="488"/>
      <c r="AG52" s="486" t="str">
        <f>INDEX(PT_DIFFERENTIATION_IST_TE,MATCH(D52,PT_DIFFERENTIATION_IST_TE_ID,0))</f>
        <v/>
      </c>
      <c r="AH52" s="487"/>
      <c r="AI52" s="487"/>
      <c r="AJ52" s="487"/>
      <c r="AK52" s="487"/>
      <c r="AL52" s="487"/>
      <c r="AM52" s="487"/>
      <c r="AN52" s="487"/>
      <c r="AO52" s="487"/>
      <c r="AP52" s="488"/>
      <c r="AQ52" s="489" t="s">
        <v>392</v>
      </c>
      <c r="AS52" s="128"/>
      <c r="AT52" s="128" t="str">
        <f t="shared" si="16"/>
        <v xml:space="preserve">Источник тепловой энергии</v>
      </c>
      <c r="AU52" s="128"/>
      <c r="AV52" s="128"/>
    </row>
    <row r="53" s="57" customFormat="1" ht="0" customHeight="1">
      <c r="A53" s="602" t="s">
        <v>176</v>
      </c>
      <c r="B53" s="602" t="s">
        <v>177</v>
      </c>
      <c r="C53" s="602" t="s">
        <v>178</v>
      </c>
      <c r="D53" s="602" t="s">
        <v>179</v>
      </c>
      <c r="E53" s="589"/>
      <c r="F53" s="589"/>
      <c r="G53" s="589"/>
      <c r="H53" s="589"/>
      <c r="I53" s="156" t="str">
        <f>U52&amp;".1"</f>
        <v>....1</v>
      </c>
      <c r="J53" s="602"/>
      <c r="K53" s="602"/>
      <c r="L53" s="602"/>
      <c r="M53" s="603" t="s">
        <v>393</v>
      </c>
      <c r="N53" s="561"/>
      <c r="O53" s="561"/>
      <c r="P53" s="561"/>
      <c r="Q53" s="131">
        <v>1</v>
      </c>
      <c r="R53" s="131"/>
      <c r="S53" s="131"/>
      <c r="T53" s="497"/>
      <c r="U53" s="351"/>
      <c r="V53" s="576"/>
      <c r="W53" s="577"/>
      <c r="X53" s="578"/>
      <c r="Y53" s="579"/>
      <c r="Z53" s="579"/>
      <c r="AA53" s="579"/>
      <c r="AB53" s="579"/>
      <c r="AC53" s="579"/>
      <c r="AD53" s="579"/>
      <c r="AE53" s="579"/>
      <c r="AF53" s="580"/>
      <c r="AG53" s="578"/>
      <c r="AH53" s="579"/>
      <c r="AI53" s="579"/>
      <c r="AJ53" s="579"/>
      <c r="AK53" s="579"/>
      <c r="AL53" s="579"/>
      <c r="AM53" s="579"/>
      <c r="AN53" s="579"/>
      <c r="AO53" s="579"/>
      <c r="AP53" s="580"/>
      <c r="AQ53" s="581"/>
      <c r="AS53" s="128"/>
      <c r="AT53" s="128" t="str">
        <f t="shared" si="16"/>
        <v/>
      </c>
      <c r="AU53" s="128"/>
      <c r="AV53" s="128"/>
    </row>
    <row r="54" ht="21" customHeight="1">
      <c r="A54" s="265" t="s">
        <v>176</v>
      </c>
      <c r="B54" s="265" t="s">
        <v>177</v>
      </c>
      <c r="C54" s="265" t="s">
        <v>178</v>
      </c>
      <c r="D54" s="265" t="s">
        <v>179</v>
      </c>
      <c r="E54" s="589"/>
      <c r="F54" s="589"/>
      <c r="G54" s="589"/>
      <c r="H54" s="589"/>
      <c r="I54" s="73"/>
      <c r="J54" s="156" t="str">
        <f>I53&amp;".1"</f>
        <v>....1.1</v>
      </c>
      <c r="K54" s="265"/>
      <c r="L54" s="265"/>
      <c r="M54" s="321" t="s">
        <v>396</v>
      </c>
      <c r="Q54" s="131"/>
      <c r="R54" s="131">
        <v>1</v>
      </c>
      <c r="S54" s="57"/>
      <c r="T54" s="502"/>
      <c r="U54" s="483" t="str">
        <f>$J54</f>
        <v>....1.1</v>
      </c>
      <c r="V54" s="503" t="s">
        <v>397</v>
      </c>
      <c r="W54" s="485"/>
      <c r="X54" s="430"/>
      <c r="Y54" s="499"/>
      <c r="Z54" s="499"/>
      <c r="AA54" s="499"/>
      <c r="AB54" s="499"/>
      <c r="AC54" s="445"/>
      <c r="AD54" s="445"/>
      <c r="AE54" s="445"/>
      <c r="AF54" s="590"/>
      <c r="AG54" s="430"/>
      <c r="AH54" s="499"/>
      <c r="AI54" s="499"/>
      <c r="AJ54" s="499"/>
      <c r="AK54" s="499"/>
      <c r="AL54" s="499"/>
      <c r="AM54" s="499"/>
      <c r="AN54" s="499"/>
      <c r="AO54" s="499"/>
      <c r="AP54" s="500"/>
      <c r="AQ54" s="489" t="s">
        <v>398</v>
      </c>
      <c r="AS54" s="128"/>
      <c r="AT54" s="128" t="str">
        <f t="shared" si="16"/>
        <v xml:space="preserve">Группа потребителей</v>
      </c>
      <c r="AU54" s="128"/>
      <c r="AV54" s="128"/>
    </row>
    <row r="55" ht="21" customHeight="1">
      <c r="A55" s="265" t="s">
        <v>176</v>
      </c>
      <c r="B55" s="265" t="s">
        <v>177</v>
      </c>
      <c r="C55" s="265" t="s">
        <v>178</v>
      </c>
      <c r="D55" s="265" t="s">
        <v>179</v>
      </c>
      <c r="E55" s="589"/>
      <c r="F55" s="589"/>
      <c r="G55" s="589"/>
      <c r="H55" s="589"/>
      <c r="I55" s="73"/>
      <c r="J55" s="73"/>
      <c r="K55" s="156" t="str">
        <f>J54&amp;".1"</f>
        <v>....1.1.1</v>
      </c>
      <c r="L55" s="51"/>
      <c r="M55" s="321" t="s">
        <v>399</v>
      </c>
      <c r="Q55" s="131"/>
      <c r="R55" s="131"/>
      <c r="S55" s="57">
        <v>1</v>
      </c>
      <c r="T55" s="502"/>
      <c r="U55" s="483" t="str">
        <f>$K55</f>
        <v>....1.1.1</v>
      </c>
      <c r="V55" s="504"/>
      <c r="W55" s="485"/>
      <c r="X55" s="505"/>
      <c r="Y55" s="505"/>
      <c r="Z55" s="505"/>
      <c r="AA55" s="505"/>
      <c r="AB55" s="591"/>
      <c r="AC55" s="508"/>
      <c r="AD55" s="225" t="s">
        <v>56</v>
      </c>
      <c r="AE55" s="508"/>
      <c r="AF55" s="225" t="s">
        <v>56</v>
      </c>
      <c r="AG55" s="592"/>
      <c r="AH55" s="505"/>
      <c r="AI55" s="505"/>
      <c r="AJ55" s="505"/>
      <c r="AK55" s="507"/>
      <c r="AL55" s="508"/>
      <c r="AM55" s="225" t="s">
        <v>56</v>
      </c>
      <c r="AN55" s="508"/>
      <c r="AO55" s="225" t="s">
        <v>56</v>
      </c>
      <c r="AP55" s="569"/>
      <c r="AQ55" s="593" t="s">
        <v>441</v>
      </c>
      <c r="AR55" s="57" t="e">
        <f t="shared" ref="AR55:AR56" si="17">STRCHECKDATE(X57:AP57)</f>
        <v>#NAME?</v>
      </c>
      <c r="AS55" s="128"/>
      <c r="AT55" s="128" t="str">
        <f t="shared" si="16"/>
        <v/>
      </c>
      <c r="AU55" s="128"/>
      <c r="AV55" s="128"/>
    </row>
    <row r="56" ht="11.25" customHeight="1">
      <c r="A56" s="265" t="s">
        <v>176</v>
      </c>
      <c r="B56" s="265" t="s">
        <v>177</v>
      </c>
      <c r="C56" s="265" t="s">
        <v>178</v>
      </c>
      <c r="D56" s="265" t="s">
        <v>179</v>
      </c>
      <c r="E56" s="589"/>
      <c r="F56" s="589"/>
      <c r="G56" s="589"/>
      <c r="H56" s="589"/>
      <c r="I56" s="73"/>
      <c r="J56" s="73"/>
      <c r="K56" s="73"/>
      <c r="L56" s="156" t="str">
        <f>K55&amp;".1"</f>
        <v>....1.1.1.1</v>
      </c>
      <c r="M56" s="321"/>
      <c r="Q56" s="131"/>
      <c r="R56" s="131"/>
      <c r="S56" s="57">
        <v>1</v>
      </c>
      <c r="T56" s="502"/>
      <c r="U56" s="483" t="str">
        <f>$L56</f>
        <v>....1.1.1.1</v>
      </c>
      <c r="V56" s="594"/>
      <c r="W56" s="485"/>
      <c r="X56" s="506"/>
      <c r="Y56" s="505"/>
      <c r="Z56" s="505"/>
      <c r="AA56" s="505"/>
      <c r="AB56" s="591"/>
      <c r="AC56" s="511"/>
      <c r="AD56" s="225"/>
      <c r="AE56" s="511"/>
      <c r="AF56" s="225"/>
      <c r="AG56" s="592"/>
      <c r="AH56" s="505"/>
      <c r="AI56" s="505"/>
      <c r="AJ56" s="505"/>
      <c r="AK56" s="507"/>
      <c r="AL56" s="511"/>
      <c r="AM56" s="225"/>
      <c r="AN56" s="511"/>
      <c r="AO56" s="225"/>
      <c r="AP56" s="569"/>
      <c r="AQ56" s="509" t="s">
        <v>442</v>
      </c>
      <c r="AR56" s="57" t="e">
        <f t="shared" si="17"/>
        <v>#NAME?</v>
      </c>
      <c r="AS56" s="128"/>
      <c r="AT56" s="128" t="str">
        <f t="shared" si="16"/>
        <v/>
      </c>
      <c r="AU56" s="128"/>
      <c r="AV56" s="128"/>
    </row>
    <row r="57" ht="0" customHeight="1">
      <c r="A57" s="265" t="s">
        <v>176</v>
      </c>
      <c r="B57" s="265" t="s">
        <v>177</v>
      </c>
      <c r="C57" s="265" t="s">
        <v>178</v>
      </c>
      <c r="D57" s="265" t="s">
        <v>179</v>
      </c>
      <c r="E57" s="589"/>
      <c r="F57" s="589"/>
      <c r="G57" s="589"/>
      <c r="H57" s="589"/>
      <c r="I57" s="73"/>
      <c r="J57" s="73"/>
      <c r="K57" s="73"/>
      <c r="L57" s="156"/>
      <c r="M57" s="321"/>
      <c r="Q57" s="131"/>
      <c r="R57" s="131"/>
      <c r="S57" s="57"/>
      <c r="T57" s="502"/>
      <c r="U57" s="457"/>
      <c r="V57" s="485"/>
      <c r="W57" s="485"/>
      <c r="X57" s="506"/>
      <c r="Y57" s="506"/>
      <c r="Z57" s="506"/>
      <c r="AA57" s="506"/>
      <c r="AB57" s="595" t="str">
        <f>AC55&amp;"-"&amp;AE55</f>
        <v>-</v>
      </c>
      <c r="AC57" s="511"/>
      <c r="AD57" s="225"/>
      <c r="AE57" s="511"/>
      <c r="AF57" s="225"/>
      <c r="AG57" s="596"/>
      <c r="AH57" s="506"/>
      <c r="AI57" s="506"/>
      <c r="AJ57" s="506"/>
      <c r="AK57" s="510" t="str">
        <f>AL55&amp;"-"&amp;AN55</f>
        <v>-</v>
      </c>
      <c r="AL57" s="511"/>
      <c r="AM57" s="225"/>
      <c r="AN57" s="511"/>
      <c r="AO57" s="225"/>
      <c r="AP57" s="571"/>
      <c r="AQ57" s="512"/>
      <c r="AS57" s="128"/>
      <c r="AT57" s="128" t="str">
        <f t="shared" si="16"/>
        <v/>
      </c>
      <c r="AU57" s="128"/>
      <c r="AV57" s="128"/>
    </row>
    <row r="58" ht="11.25" customHeight="1">
      <c r="A58" s="265" t="s">
        <v>176</v>
      </c>
      <c r="B58" s="265" t="s">
        <v>177</v>
      </c>
      <c r="C58" s="265" t="s">
        <v>178</v>
      </c>
      <c r="D58" s="265" t="s">
        <v>179</v>
      </c>
      <c r="E58" s="589"/>
      <c r="F58" s="589"/>
      <c r="G58" s="589"/>
      <c r="H58" s="589"/>
      <c r="I58" s="73"/>
      <c r="J58" s="73"/>
      <c r="K58" s="156"/>
      <c r="L58" s="265"/>
      <c r="M58" s="321"/>
      <c r="Q58" s="131"/>
      <c r="R58" s="131"/>
      <c r="S58" s="131"/>
      <c r="T58" s="497"/>
      <c r="U58" s="513"/>
      <c r="V58" s="514" t="s">
        <v>443</v>
      </c>
      <c r="W58" s="215"/>
      <c r="X58" s="215"/>
      <c r="Y58" s="215"/>
      <c r="Z58" s="215"/>
      <c r="AA58" s="215"/>
      <c r="AB58" s="215"/>
      <c r="AC58" s="511"/>
      <c r="AD58" s="225"/>
      <c r="AE58" s="511"/>
      <c r="AF58" s="225"/>
      <c r="AG58" s="215"/>
      <c r="AH58" s="215"/>
      <c r="AI58" s="215"/>
      <c r="AJ58" s="215"/>
      <c r="AK58" s="215"/>
      <c r="AL58" s="511"/>
      <c r="AM58" s="225"/>
      <c r="AN58" s="511"/>
      <c r="AO58" s="225"/>
      <c r="AP58" s="515"/>
      <c r="AQ58" s="512"/>
      <c r="AS58" s="128"/>
      <c r="AT58" s="128" t="str">
        <f t="shared" si="16"/>
        <v xml:space="preserve">Добавить наименование поставщика</v>
      </c>
      <c r="AU58" s="128"/>
      <c r="AV58" s="128"/>
    </row>
    <row r="59" ht="11.25" customHeight="1">
      <c r="A59" s="265" t="s">
        <v>176</v>
      </c>
      <c r="B59" s="265" t="s">
        <v>177</v>
      </c>
      <c r="C59" s="265" t="s">
        <v>178</v>
      </c>
      <c r="D59" s="265" t="s">
        <v>179</v>
      </c>
      <c r="E59" s="589"/>
      <c r="F59" s="589"/>
      <c r="G59" s="589"/>
      <c r="H59" s="589"/>
      <c r="I59" s="73"/>
      <c r="J59" s="156"/>
      <c r="K59" s="265"/>
      <c r="L59" s="265"/>
      <c r="M59" s="321"/>
      <c r="Q59" s="131"/>
      <c r="R59" s="131"/>
      <c r="S59" s="131"/>
      <c r="T59" s="497"/>
      <c r="U59" s="513"/>
      <c r="V59" s="517" t="s">
        <v>401</v>
      </c>
      <c r="W59" s="215"/>
      <c r="X59" s="215"/>
      <c r="Y59" s="215"/>
      <c r="Z59" s="215"/>
      <c r="AA59" s="215"/>
      <c r="AB59" s="215"/>
      <c r="AC59" s="601"/>
      <c r="AD59" s="601"/>
      <c r="AE59" s="601"/>
      <c r="AF59" s="601"/>
      <c r="AG59" s="215"/>
      <c r="AH59" s="215"/>
      <c r="AI59" s="215"/>
      <c r="AJ59" s="215"/>
      <c r="AK59" s="215"/>
      <c r="AL59" s="215"/>
      <c r="AM59" s="215"/>
      <c r="AN59" s="215"/>
      <c r="AO59" s="215"/>
      <c r="AP59" s="515"/>
      <c r="AQ59" s="516"/>
      <c r="AS59" s="128"/>
      <c r="AT59" s="128" t="str">
        <f t="shared" si="16"/>
        <v xml:space="preserve">Добавить вид теплоносителя (параметры теплоносителя)</v>
      </c>
      <c r="AU59" s="128"/>
      <c r="AV59" s="128"/>
    </row>
    <row r="60" ht="11.25" customHeight="1">
      <c r="A60" s="265" t="s">
        <v>176</v>
      </c>
      <c r="B60" s="265" t="s">
        <v>177</v>
      </c>
      <c r="C60" s="265" t="s">
        <v>178</v>
      </c>
      <c r="D60" s="265" t="s">
        <v>179</v>
      </c>
      <c r="E60" s="589"/>
      <c r="F60" s="589"/>
      <c r="G60" s="589"/>
      <c r="H60" s="589"/>
      <c r="I60" s="156"/>
      <c r="J60" s="265"/>
      <c r="K60" s="265"/>
      <c r="L60" s="265"/>
      <c r="M60" s="321"/>
      <c r="Q60" s="131"/>
      <c r="R60" s="131"/>
      <c r="S60" s="131"/>
      <c r="T60" s="497"/>
      <c r="U60" s="513"/>
      <c r="V60" s="521" t="s">
        <v>402</v>
      </c>
      <c r="W60" s="215"/>
      <c r="X60" s="215"/>
      <c r="Y60" s="215"/>
      <c r="Z60" s="215"/>
      <c r="AA60" s="215"/>
      <c r="AB60" s="215"/>
      <c r="AC60" s="215"/>
      <c r="AD60" s="215"/>
      <c r="AE60" s="215"/>
      <c r="AF60" s="518"/>
      <c r="AG60" s="215"/>
      <c r="AH60" s="215"/>
      <c r="AI60" s="215"/>
      <c r="AJ60" s="215"/>
      <c r="AK60" s="215"/>
      <c r="AL60" s="215"/>
      <c r="AM60" s="215"/>
      <c r="AN60" s="215"/>
      <c r="AO60" s="518"/>
      <c r="AP60" s="215"/>
      <c r="AQ60" s="519"/>
      <c r="AS60" s="128"/>
      <c r="AT60" s="128" t="str">
        <f t="shared" si="16"/>
        <v xml:space="preserve">Добавить группу потребителей</v>
      </c>
      <c r="AU60" s="128"/>
      <c r="AV60" s="128"/>
    </row>
    <row r="61" ht="0" customHeight="1">
      <c r="A61" s="265" t="s">
        <v>176</v>
      </c>
      <c r="B61" s="265" t="s">
        <v>177</v>
      </c>
      <c r="C61" s="265" t="s">
        <v>178</v>
      </c>
      <c r="D61" s="265" t="s">
        <v>179</v>
      </c>
      <c r="E61" s="589"/>
      <c r="F61" s="589"/>
      <c r="G61" s="589"/>
      <c r="H61" s="588"/>
      <c r="I61" s="265"/>
      <c r="J61" s="265"/>
      <c r="K61" s="265"/>
      <c r="L61" s="265"/>
      <c r="M61" s="321"/>
      <c r="N61" s="322"/>
      <c r="O61" s="322"/>
      <c r="P61" s="50"/>
      <c r="Q61" s="142"/>
      <c r="R61" s="520"/>
      <c r="S61" s="482"/>
      <c r="T61" s="142"/>
      <c r="U61" s="582"/>
      <c r="V61" s="583"/>
      <c r="W61" s="584"/>
      <c r="X61" s="584"/>
      <c r="Y61" s="584"/>
      <c r="Z61" s="584"/>
      <c r="AA61" s="584"/>
      <c r="AB61" s="584"/>
      <c r="AC61" s="584"/>
      <c r="AD61" s="584"/>
      <c r="AE61" s="584"/>
      <c r="AF61" s="584"/>
      <c r="AG61" s="584"/>
      <c r="AH61" s="584"/>
      <c r="AI61" s="584"/>
      <c r="AJ61" s="584"/>
      <c r="AK61" s="584"/>
      <c r="AL61" s="584"/>
      <c r="AM61" s="584"/>
      <c r="AN61" s="584"/>
      <c r="AO61" s="584"/>
      <c r="AP61" s="584"/>
      <c r="AQ61" s="585"/>
      <c r="AS61" s="128"/>
      <c r="AT61" s="128" t="str">
        <f t="shared" si="16"/>
        <v/>
      </c>
      <c r="AU61" s="128"/>
      <c r="AV61" s="128"/>
    </row>
    <row r="62" s="57" customFormat="1" ht="0" customHeight="1">
      <c r="A62" s="602" t="s">
        <v>176</v>
      </c>
      <c r="B62" s="602" t="s">
        <v>177</v>
      </c>
      <c r="C62" s="602" t="s">
        <v>178</v>
      </c>
      <c r="D62" s="602"/>
      <c r="E62" s="589"/>
      <c r="F62" s="589"/>
      <c r="G62" s="588"/>
      <c r="H62" s="602"/>
      <c r="I62" s="602"/>
      <c r="J62" s="602"/>
      <c r="K62" s="602"/>
      <c r="L62" s="602"/>
      <c r="M62" s="603"/>
      <c r="N62" s="604"/>
      <c r="O62" s="604"/>
      <c r="P62" s="130"/>
      <c r="Q62" s="166"/>
      <c r="R62" s="522"/>
      <c r="S62" s="166"/>
      <c r="T62" s="166"/>
      <c r="U62" s="527"/>
      <c r="V62" s="530" t="s">
        <v>404</v>
      </c>
      <c r="W62" s="529"/>
      <c r="X62" s="529"/>
      <c r="Y62" s="529"/>
      <c r="Z62" s="529"/>
      <c r="AA62" s="529"/>
      <c r="AB62" s="529"/>
      <c r="AC62" s="529"/>
      <c r="AD62" s="529"/>
      <c r="AE62" s="529"/>
      <c r="AF62" s="529"/>
      <c r="AG62" s="529"/>
      <c r="AH62" s="529"/>
      <c r="AI62" s="529"/>
      <c r="AJ62" s="529"/>
      <c r="AK62" s="529"/>
      <c r="AL62" s="529"/>
      <c r="AM62" s="529"/>
      <c r="AN62" s="529"/>
      <c r="AO62" s="529"/>
      <c r="AP62" s="529"/>
      <c r="AQ62" s="529"/>
      <c r="AS62" s="128"/>
      <c r="AT62" s="128" t="str">
        <f t="shared" si="16"/>
        <v xml:space="preserve">Добавить источник для дифференциации</v>
      </c>
      <c r="AU62" s="128"/>
      <c r="AV62" s="128"/>
    </row>
    <row r="63" s="57" customFormat="1" ht="0" customHeight="1">
      <c r="A63" s="602" t="s">
        <v>176</v>
      </c>
      <c r="B63" s="602" t="s">
        <v>177</v>
      </c>
      <c r="C63" s="602"/>
      <c r="D63" s="602"/>
      <c r="E63" s="589"/>
      <c r="F63" s="588"/>
      <c r="G63" s="602"/>
      <c r="H63" s="602"/>
      <c r="I63" s="602"/>
      <c r="J63" s="602"/>
      <c r="K63" s="602"/>
      <c r="L63" s="602"/>
      <c r="M63" s="603"/>
      <c r="N63" s="605"/>
      <c r="O63" s="605"/>
      <c r="P63" s="130"/>
      <c r="Q63" s="166"/>
      <c r="R63" s="522"/>
      <c r="S63" s="166"/>
      <c r="T63" s="166"/>
      <c r="U63" s="527"/>
      <c r="V63" s="530" t="s">
        <v>405</v>
      </c>
      <c r="W63" s="529"/>
      <c r="X63" s="529"/>
      <c r="Y63" s="529"/>
      <c r="Z63" s="529"/>
      <c r="AA63" s="529"/>
      <c r="AB63" s="529"/>
      <c r="AC63" s="529"/>
      <c r="AD63" s="529"/>
      <c r="AE63" s="529"/>
      <c r="AF63" s="529"/>
      <c r="AG63" s="529"/>
      <c r="AH63" s="529"/>
      <c r="AI63" s="529"/>
      <c r="AJ63" s="529"/>
      <c r="AK63" s="529"/>
      <c r="AL63" s="529"/>
      <c r="AM63" s="529"/>
      <c r="AN63" s="529"/>
      <c r="AO63" s="529"/>
      <c r="AP63" s="529"/>
      <c r="AQ63" s="529"/>
      <c r="AS63" s="128"/>
      <c r="AT63" s="128" t="str">
        <f t="shared" si="16"/>
        <v xml:space="preserve">Добавить централизованную систему для дифференциации</v>
      </c>
      <c r="AU63" s="128"/>
      <c r="AV63" s="128"/>
    </row>
    <row r="64" s="57" customFormat="1" ht="0" customHeight="1">
      <c r="A64" s="602" t="s">
        <v>176</v>
      </c>
      <c r="B64" s="602"/>
      <c r="C64" s="602"/>
      <c r="D64" s="602"/>
      <c r="E64" s="588"/>
      <c r="F64" s="602"/>
      <c r="G64" s="602"/>
      <c r="H64" s="602"/>
      <c r="I64" s="602"/>
      <c r="J64" s="602"/>
      <c r="K64" s="602"/>
      <c r="L64" s="602"/>
      <c r="M64" s="603"/>
      <c r="N64" s="605"/>
      <c r="O64" s="605"/>
      <c r="P64" s="130"/>
      <c r="Q64" s="166"/>
      <c r="R64" s="522"/>
      <c r="S64" s="166"/>
      <c r="T64" s="166"/>
      <c r="U64" s="527"/>
      <c r="V64" s="530" t="s">
        <v>406</v>
      </c>
      <c r="W64" s="529"/>
      <c r="X64" s="529"/>
      <c r="Y64" s="529"/>
      <c r="Z64" s="529"/>
      <c r="AA64" s="529"/>
      <c r="AB64" s="529"/>
      <c r="AC64" s="529"/>
      <c r="AD64" s="529"/>
      <c r="AE64" s="529"/>
      <c r="AF64" s="529"/>
      <c r="AG64" s="529"/>
      <c r="AH64" s="529"/>
      <c r="AI64" s="529"/>
      <c r="AJ64" s="529"/>
      <c r="AK64" s="529"/>
      <c r="AL64" s="529"/>
      <c r="AM64" s="529"/>
      <c r="AN64" s="529"/>
      <c r="AO64" s="529"/>
      <c r="AP64" s="529"/>
      <c r="AQ64" s="529"/>
      <c r="AS64" s="128"/>
      <c r="AT64" s="128" t="str">
        <f t="shared" si="16"/>
        <v xml:space="preserve">Добавить территорию для дифференциации</v>
      </c>
      <c r="AU64" s="128"/>
      <c r="AV64" s="128"/>
    </row>
    <row r="65" s="57" customFormat="1" ht="5.25" customHeight="1">
      <c r="A65" s="602"/>
      <c r="B65" s="602"/>
      <c r="C65" s="602"/>
      <c r="D65" s="602"/>
      <c r="E65" s="602"/>
      <c r="F65" s="602"/>
      <c r="G65" s="602"/>
      <c r="H65" s="602"/>
      <c r="I65" s="602"/>
      <c r="J65" s="602"/>
      <c r="K65" s="602"/>
      <c r="L65" s="602"/>
      <c r="M65" s="603"/>
      <c r="N65" s="605"/>
      <c r="O65" s="605"/>
      <c r="P65" s="130"/>
      <c r="Q65" s="166"/>
      <c r="R65" s="522"/>
      <c r="S65" s="166"/>
      <c r="T65" s="166"/>
      <c r="U65" s="527"/>
      <c r="V65" s="530" t="s">
        <v>438</v>
      </c>
      <c r="W65" s="529"/>
      <c r="X65" s="529"/>
      <c r="Y65" s="529"/>
      <c r="Z65" s="529"/>
      <c r="AA65" s="529"/>
      <c r="AB65" s="529"/>
      <c r="AC65" s="529"/>
      <c r="AD65" s="529"/>
      <c r="AE65" s="529"/>
      <c r="AF65" s="529"/>
      <c r="AG65" s="529"/>
      <c r="AH65" s="529"/>
      <c r="AI65" s="529"/>
      <c r="AJ65" s="529"/>
      <c r="AK65" s="529"/>
      <c r="AL65" s="529"/>
      <c r="AM65" s="529"/>
      <c r="AN65" s="529"/>
      <c r="AO65" s="529"/>
      <c r="AP65" s="529"/>
      <c r="AQ65" s="529"/>
      <c r="AS65" s="128"/>
      <c r="AT65" s="128" t="str">
        <f t="shared" si="16"/>
        <v xml:space="preserve">Добавить наименование тарифа</v>
      </c>
      <c r="AU65" s="128"/>
      <c r="AV65" s="128"/>
    </row>
    <row r="66" ht="11.25" customHeight="1">
      <c r="N66" s="50"/>
      <c r="O66" s="50"/>
      <c r="P66" s="50"/>
      <c r="Q66" s="50"/>
      <c r="R66" s="50"/>
      <c r="S66" s="50"/>
      <c r="T66" s="50"/>
      <c r="U66" s="50"/>
      <c r="AR66" s="50"/>
      <c r="AS66" s="50"/>
      <c r="AT66" s="50"/>
      <c r="AU66" s="50"/>
      <c r="AV66" s="50"/>
    </row>
    <row r="67" ht="33.75" customHeight="1">
      <c r="P67" s="50"/>
      <c r="U67" s="475"/>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row>
    <row r="68" ht="19.5" customHeight="1">
      <c r="P68" s="50"/>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row>
    <row r="69" ht="14.25" customHeight="1">
      <c r="P69" s="50"/>
    </row>
    <row r="70" ht="27" customHeight="1">
      <c r="P70" s="50"/>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row>
    <row r="71" ht="18" customHeight="1">
      <c r="P71" s="50"/>
      <c r="V71" s="572"/>
      <c r="W71" s="572"/>
      <c r="X71" s="572"/>
      <c r="Y71" s="572"/>
      <c r="Z71" s="572"/>
      <c r="AA71" s="572"/>
      <c r="AB71" s="572"/>
      <c r="AC71" s="572"/>
      <c r="AD71" s="572"/>
      <c r="AE71" s="572"/>
      <c r="AF71" s="572"/>
      <c r="AG71" s="572"/>
      <c r="AH71" s="572"/>
      <c r="AI71" s="572"/>
      <c r="AJ71" s="572"/>
      <c r="AK71" s="572"/>
      <c r="AL71" s="572"/>
      <c r="AM71" s="572"/>
      <c r="AN71" s="572"/>
      <c r="AO71" s="572"/>
      <c r="AP71" s="572"/>
      <c r="AQ71" s="572"/>
    </row>
  </sheetData>
  <sheetProtection autoFilter="0" deleteColumns="0" deleteRows="0" formatCells="1" formatColumns="0" formatRows="0" insertColumns="1" insertHyperlinks="1" insertRows="0" pivotTables="1" selectLockedCells="0" selectUnlockedCells="0" sheet="0" sort="0"/>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4" disablePrompts="0">
    <dataValidation sqref="U131130:AQ131136 U196666:AQ196672 U262202:AQ262208 U327738:AQ327744 U393274:AQ393280 U458810:AQ458816 U524346:AQ524352 U589882:AQ589888 U655418:AQ655424 U720954:AQ720960 U786490:AQ786496 U852026:AQ852032 U917562:AQ917568 U983098:AQ983104 U65594:AQ65600" type="none" allowBlank="1" errorStyle="stop" imeMode="noControl" operator="between" showDropDown="0" showErrorMessage="0" showInputMessage="0"/>
    <dataValidation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type="none" allowBlank="1" errorStyle="stop" imeMode="noControl" operator="between" promptTitle="checkPeriodRange" showDropDown="0" showErrorMessage="0" showInputMessage="0"/>
    <dataValidation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D40019-008C-4241-9DE9-009800F50057}" type="list" allowBlank="1" error="Выберите значение из списка" errorStyle="stop" errorTitle="Ошибка" imeMode="noControl" operator="between" showDropDown="0" showErrorMessage="1" showInputMessage="1">
          <x14:formula1>
            <xm:f>kind_of_heat_transfer</xm:f>
          </x14:formula1>
          <xm:sqref>V65592 V131128 V196664 V262200 V327736 V393272 V458808 V524344 V589880 V655416 V720952 V786488 V852024 V917560 V983096</xm:sqref>
        </x14:dataValidation>
        <x14:dataValidation xr:uid="{00A800A7-0079-49F6-87F2-0037007C006B}" type="list" allowBlank="1" error="Выберите значение из списка" errorStyle="stop" errorTitle="Ошибка" imeMode="noControl" operator="between" showDropDown="0" showErrorMessage="1" showInputMessage="1">
          <x14:formula1>
            <xm:f>kind_of_scheme_in</xm:f>
          </x14:formula1>
          <xm: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xm:sqref>
        </x14:dataValidation>
        <x14:dataValidation xr:uid="{00CE004C-0015-41C3-A3F4-009E006200F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X983095:AP983095 X65591:AP65591 X131127:AP131127 X196663:AP196663 X262199:AP262199 X327735:AP327735 X393271:AP393271 X458807:AP458807 X524343:AP524343 X589879:AP589879 X655415:AP655415 X720951:AP720951 X786487:AP786487 X852023:AP852023 X917559:AP917559</xm:sqref>
        </x14:dataValidation>
        <x14:dataValidation xr:uid="{009D0069-0016-4940-AEE8-00A6008800C9}" type="textLength" allowBlank="1" error="Допускается ввод не более 900 символов!" errorStyle="stop" errorTitle="Ошибка" imeMode="noControl" operator="lessThanOrEqual" showDropDown="0" showErrorMessage="1" showInputMessage="1">
          <x14:formula1>
            <xm:f>900</xm:f>
          </x14:formula1>
          <xm:sqref>AQ65586:AQ65593 AQ131122:AQ131129 AQ196658:AQ196665 AQ262194:AQ262201 AQ327730:AQ327737 AQ393266:AQ393273 AQ458802:AQ458809 AQ524338:AQ524345 AQ589874:AQ589881 AQ655410:AQ655417 AQ720946:AQ720953 AQ786482:AQ786489 AQ852018:AQ852025 AQ917554:AQ917561 AQ983090:AQ983097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R26"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1" width="3.7109375"/>
    <col customWidth="1" hidden="1" min="17" max="17" style="536" width="3.7109375"/>
    <col customWidth="1" min="18" max="18" style="477" width="3.7109375"/>
    <col customWidth="1" min="19" max="19" style="322" width="12.7109375"/>
    <col customWidth="1" min="20" max="20" style="50" width="32.00390625"/>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421875"/>
    <col customWidth="1" min="28" max="28" style="50" width="5.421875"/>
    <col customWidth="1" min="29" max="30" style="50" width="3.7109375"/>
    <col customWidth="1" min="31" max="31" style="50" width="24.7109375"/>
    <col customWidth="1" min="32" max="34" style="50" width="3.7109375"/>
    <col customWidth="1" min="35" max="35" style="50" width="24.7109375"/>
    <col customWidth="1" min="36" max="38" style="50" width="3.7109375"/>
    <col customWidth="1" min="39" max="39" style="50" width="18.8515625"/>
    <col customWidth="1" min="40" max="41" style="50" width="21.7109375"/>
    <col customWidth="1" min="42" max="42" style="50" width="11.7109375"/>
    <col customWidth="1" min="43" max="43" style="50" width="3.7109375"/>
    <col customWidth="1" min="44" max="44" style="50" width="11.7109375"/>
    <col customWidth="1" min="45" max="45" style="50" width="8.57421875"/>
    <col customWidth="1" min="46" max="46" style="50" width="4.7109375"/>
    <col customWidth="1" min="47" max="47" style="50" width="115.7109375"/>
    <col min="48" max="49" style="57" width="10.57421875"/>
    <col customWidth="1" min="50" max="50" style="57" width="11.140625"/>
    <col min="51" max="52" style="57" width="10.57421875"/>
  </cols>
  <sheetData>
    <row r="1" ht="14.25" hidden="1" customHeight="1">
      <c r="W1" s="50"/>
      <c r="X1" s="50"/>
      <c r="AO1" s="50"/>
      <c r="AP1" s="50"/>
    </row>
    <row r="2" ht="21" hidden="1" customHeight="1">
      <c r="A2" s="478"/>
      <c r="B2" s="478"/>
      <c r="C2" s="478"/>
      <c r="D2" s="478"/>
      <c r="E2" s="479">
        <v>1</v>
      </c>
      <c r="F2" s="478"/>
      <c r="G2" s="478"/>
      <c r="H2" s="478"/>
      <c r="I2" s="478"/>
      <c r="J2" s="478"/>
      <c r="K2" s="478"/>
      <c r="L2" s="480"/>
      <c r="M2" s="481"/>
      <c r="N2" s="481"/>
      <c r="O2" s="481"/>
      <c r="P2" s="61"/>
      <c r="Q2" s="64"/>
      <c r="R2" s="482"/>
      <c r="S2" s="483" t="e">
        <f>INDEX(PT_DIFFERENTIATION_NUM_NTAR,MATCH(A2,PT_DIFFERENTIATION_NTAR_ID,0))</f>
        <v>#VALUE!</v>
      </c>
      <c r="T2" s="484" t="s">
        <v>125</v>
      </c>
      <c r="U2" s="485"/>
      <c r="V2" s="487"/>
      <c r="W2" s="487"/>
      <c r="X2" s="487"/>
      <c r="Y2" s="487"/>
      <c r="Z2" s="487"/>
      <c r="AA2" s="488"/>
      <c r="AB2" s="486" t="e">
        <f>INDEX(PT_DIFFERENTIATION_NTAR,MATCH(A2,PT_DIFFERENTIATION_NTAR_ID,0))</f>
        <v>#VALUE!</v>
      </c>
      <c r="AC2" s="487"/>
      <c r="AD2" s="487"/>
      <c r="AE2" s="487"/>
      <c r="AF2" s="487"/>
      <c r="AG2" s="487"/>
      <c r="AH2" s="487"/>
      <c r="AI2" s="487"/>
      <c r="AJ2" s="487"/>
      <c r="AK2" s="487"/>
      <c r="AL2" s="487"/>
      <c r="AM2" s="487"/>
      <c r="AN2" s="487"/>
      <c r="AO2" s="487"/>
      <c r="AP2" s="487"/>
      <c r="AQ2" s="487"/>
      <c r="AR2" s="487"/>
      <c r="AS2" s="487"/>
      <c r="AT2" s="488"/>
      <c r="AU2" s="489" t="s">
        <v>386</v>
      </c>
      <c r="AW2" s="128"/>
      <c r="AX2" s="128" t="str">
        <f t="shared" ref="AX2:AX8" si="18">IF(T2="","",T2)</f>
        <v xml:space="preserve">Наименование тарифа</v>
      </c>
      <c r="AY2" s="128"/>
      <c r="AZ2" s="128"/>
    </row>
    <row r="3" ht="21" hidden="1" customHeight="1">
      <c r="A3" s="478"/>
      <c r="B3" s="478"/>
      <c r="C3" s="478"/>
      <c r="D3" s="478"/>
      <c r="E3" s="490"/>
      <c r="F3" s="479">
        <v>1</v>
      </c>
      <c r="G3" s="478"/>
      <c r="H3" s="478"/>
      <c r="I3" s="478"/>
      <c r="J3" s="478"/>
      <c r="K3" s="478"/>
      <c r="L3" s="480"/>
      <c r="M3" s="481"/>
      <c r="N3" s="481"/>
      <c r="O3" s="481"/>
      <c r="P3" s="113"/>
      <c r="Q3" s="610"/>
      <c r="R3" s="492"/>
      <c r="S3" s="483" t="e">
        <f>INDEX(PT_DIFFERENTIATION_NUM_TER,MATCH(B3,PT_DIFFERENTIATION_TER_ID,0))</f>
        <v>#VALUE!</v>
      </c>
      <c r="T3" s="493" t="s">
        <v>387</v>
      </c>
      <c r="U3" s="485"/>
      <c r="V3" s="487"/>
      <c r="W3" s="487"/>
      <c r="X3" s="487"/>
      <c r="Y3" s="487"/>
      <c r="Z3" s="487"/>
      <c r="AA3" s="488"/>
      <c r="AB3" s="486" t="e">
        <f>INDEX(PT_DIFFERENTIATION_TER,MATCH(B3,PT_DIFFERENTIATION_TER_ID,0))</f>
        <v>#VALUE!</v>
      </c>
      <c r="AC3" s="487"/>
      <c r="AD3" s="487"/>
      <c r="AE3" s="487"/>
      <c r="AF3" s="487"/>
      <c r="AG3" s="487"/>
      <c r="AH3" s="487"/>
      <c r="AI3" s="487"/>
      <c r="AJ3" s="487"/>
      <c r="AK3" s="487"/>
      <c r="AL3" s="487"/>
      <c r="AM3" s="487"/>
      <c r="AN3" s="487"/>
      <c r="AO3" s="487"/>
      <c r="AP3" s="487"/>
      <c r="AQ3" s="487"/>
      <c r="AR3" s="487"/>
      <c r="AS3" s="487"/>
      <c r="AT3" s="488"/>
      <c r="AU3" s="489" t="s">
        <v>388</v>
      </c>
      <c r="AW3" s="128"/>
      <c r="AX3" s="128" t="str">
        <f t="shared" si="18"/>
        <v xml:space="preserve">Территория действия тарифа</v>
      </c>
      <c r="AY3" s="128"/>
      <c r="AZ3" s="128"/>
    </row>
    <row r="4" ht="22.5" hidden="1" customHeight="1">
      <c r="A4" s="478"/>
      <c r="B4" s="478"/>
      <c r="C4" s="478"/>
      <c r="D4" s="478"/>
      <c r="E4" s="490"/>
      <c r="F4" s="490"/>
      <c r="G4" s="479">
        <v>1</v>
      </c>
      <c r="H4" s="478"/>
      <c r="I4" s="478"/>
      <c r="J4" s="478"/>
      <c r="K4" s="478"/>
      <c r="L4" s="480"/>
      <c r="M4" s="481"/>
      <c r="N4" s="481"/>
      <c r="O4" s="481"/>
      <c r="P4" s="134"/>
      <c r="Q4" s="610"/>
      <c r="R4" s="492"/>
      <c r="S4" s="483" t="e">
        <f>INDEX(PT_DIFFERENTIATION_NUM_CS,MATCH(C4,PT_DIFFERENTIATION_CS_ID,0))</f>
        <v>#VALUE!</v>
      </c>
      <c r="T4" s="495" t="s">
        <v>389</v>
      </c>
      <c r="U4" s="485"/>
      <c r="V4" s="487"/>
      <c r="W4" s="487"/>
      <c r="X4" s="487"/>
      <c r="Y4" s="487"/>
      <c r="Z4" s="487"/>
      <c r="AA4" s="488"/>
      <c r="AB4" s="486" t="e">
        <f>INDEX(PT_DIFFERENTIATION_CS,MATCH(C4,PT_DIFFERENTIATION_CS_ID,0))</f>
        <v>#VALUE!</v>
      </c>
      <c r="AC4" s="487"/>
      <c r="AD4" s="487"/>
      <c r="AE4" s="487"/>
      <c r="AF4" s="487"/>
      <c r="AG4" s="487"/>
      <c r="AH4" s="487"/>
      <c r="AI4" s="487"/>
      <c r="AJ4" s="487"/>
      <c r="AK4" s="487"/>
      <c r="AL4" s="487"/>
      <c r="AM4" s="487"/>
      <c r="AN4" s="487"/>
      <c r="AO4" s="487"/>
      <c r="AP4" s="487"/>
      <c r="AQ4" s="487"/>
      <c r="AR4" s="487"/>
      <c r="AS4" s="487"/>
      <c r="AT4" s="488"/>
      <c r="AU4" s="489" t="s">
        <v>390</v>
      </c>
      <c r="AW4" s="128"/>
      <c r="AX4" s="128" t="str">
        <f t="shared" si="18"/>
        <v xml:space="preserve">Наименование системы теплоснабжения</v>
      </c>
      <c r="AY4" s="128"/>
      <c r="AZ4" s="128"/>
    </row>
    <row r="5" ht="21" hidden="1" customHeight="1">
      <c r="A5" s="478"/>
      <c r="B5" s="478"/>
      <c r="C5" s="478"/>
      <c r="D5" s="478"/>
      <c r="E5" s="490"/>
      <c r="F5" s="490"/>
      <c r="G5" s="490"/>
      <c r="H5" s="479">
        <v>1</v>
      </c>
      <c r="I5" s="478"/>
      <c r="J5" s="478"/>
      <c r="K5" s="478"/>
      <c r="L5" s="480"/>
      <c r="M5" s="481"/>
      <c r="N5" s="481"/>
      <c r="O5" s="481"/>
      <c r="P5" s="134"/>
      <c r="Q5" s="610"/>
      <c r="R5" s="492"/>
      <c r="S5" s="483" t="e">
        <f>INDEX(PT_DIFFERENTIATION_NUM_IST_TE,MATCH(D5,PT_DIFFERENTIATION_IST_TE_ID,0))</f>
        <v>#VALUE!</v>
      </c>
      <c r="T5" s="496" t="s">
        <v>391</v>
      </c>
      <c r="U5" s="485"/>
      <c r="V5" s="487"/>
      <c r="W5" s="487"/>
      <c r="X5" s="487"/>
      <c r="Y5" s="487"/>
      <c r="Z5" s="487"/>
      <c r="AA5" s="488"/>
      <c r="AB5" s="486" t="e">
        <f>INDEX(PT_DIFFERENTIATION_IST_TE,MATCH(D5,PT_DIFFERENTIATION_IST_TE_ID,0))</f>
        <v>#VALUE!</v>
      </c>
      <c r="AC5" s="487"/>
      <c r="AD5" s="487"/>
      <c r="AE5" s="487"/>
      <c r="AF5" s="487"/>
      <c r="AG5" s="487"/>
      <c r="AH5" s="487"/>
      <c r="AI5" s="487"/>
      <c r="AJ5" s="487"/>
      <c r="AK5" s="487"/>
      <c r="AL5" s="487"/>
      <c r="AM5" s="487"/>
      <c r="AN5" s="487"/>
      <c r="AO5" s="487"/>
      <c r="AP5" s="487"/>
      <c r="AQ5" s="487"/>
      <c r="AR5" s="487"/>
      <c r="AS5" s="487"/>
      <c r="AT5" s="488"/>
      <c r="AU5" s="489" t="s">
        <v>392</v>
      </c>
      <c r="AW5" s="128"/>
      <c r="AX5" s="128" t="str">
        <f t="shared" si="18"/>
        <v xml:space="preserve">Источник тепловой энергии</v>
      </c>
      <c r="AY5" s="128"/>
      <c r="AZ5" s="128"/>
    </row>
    <row r="6" s="57" customFormat="1" ht="14.25" hidden="1" customHeight="1">
      <c r="A6" s="132"/>
      <c r="B6" s="132"/>
      <c r="C6" s="132"/>
      <c r="D6" s="132"/>
      <c r="E6" s="490"/>
      <c r="F6" s="490"/>
      <c r="G6" s="490"/>
      <c r="H6" s="490"/>
      <c r="I6" s="167" t="e">
        <f>S5&amp;".1"</f>
        <v>#VALUE!</v>
      </c>
      <c r="J6" s="132"/>
      <c r="K6" s="132"/>
      <c r="L6" s="213" t="s">
        <v>393</v>
      </c>
      <c r="M6" s="586"/>
      <c r="N6" s="586"/>
      <c r="O6" s="586"/>
      <c r="P6" s="131">
        <v>1</v>
      </c>
      <c r="Q6" s="131"/>
      <c r="R6" s="497"/>
      <c r="S6" s="351"/>
      <c r="T6" s="576"/>
      <c r="U6" s="577"/>
      <c r="V6" s="579"/>
      <c r="W6" s="579"/>
      <c r="X6" s="579"/>
      <c r="Y6" s="579"/>
      <c r="Z6" s="579"/>
      <c r="AA6" s="580"/>
      <c r="AB6" s="578"/>
      <c r="AC6" s="579"/>
      <c r="AD6" s="579"/>
      <c r="AE6" s="579"/>
      <c r="AF6" s="579"/>
      <c r="AG6" s="579"/>
      <c r="AH6" s="579"/>
      <c r="AI6" s="579"/>
      <c r="AJ6" s="579"/>
      <c r="AK6" s="579"/>
      <c r="AL6" s="579"/>
      <c r="AM6" s="579"/>
      <c r="AN6" s="579"/>
      <c r="AO6" s="579"/>
      <c r="AP6" s="579"/>
      <c r="AQ6" s="579"/>
      <c r="AR6" s="579"/>
      <c r="AS6" s="579"/>
      <c r="AT6" s="580"/>
      <c r="AU6" s="581"/>
      <c r="AW6" s="128"/>
      <c r="AX6" s="128" t="str">
        <f t="shared" si="18"/>
        <v/>
      </c>
      <c r="AY6" s="128"/>
      <c r="AZ6" s="128"/>
    </row>
    <row r="7" s="57" customFormat="1" ht="14.25" hidden="1" customHeight="1">
      <c r="A7" s="132"/>
      <c r="B7" s="132"/>
      <c r="C7" s="132"/>
      <c r="D7" s="132"/>
      <c r="E7" s="490"/>
      <c r="F7" s="490"/>
      <c r="G7" s="490"/>
      <c r="H7" s="490"/>
      <c r="I7" s="501"/>
      <c r="J7" s="167" t="e">
        <f>S5&amp;".1"</f>
        <v>#VALUE!</v>
      </c>
      <c r="K7" s="132"/>
      <c r="L7" s="213"/>
      <c r="M7" s="586"/>
      <c r="N7" s="586"/>
      <c r="O7" s="586"/>
      <c r="P7" s="131"/>
      <c r="Q7" s="131">
        <v>1</v>
      </c>
      <c r="R7" s="502"/>
      <c r="S7" s="351"/>
      <c r="T7" s="611"/>
      <c r="U7" s="577"/>
      <c r="V7" s="579"/>
      <c r="W7" s="579"/>
      <c r="X7" s="579"/>
      <c r="Y7" s="579"/>
      <c r="Z7" s="579"/>
      <c r="AA7" s="580"/>
      <c r="AB7" s="578"/>
      <c r="AC7" s="579"/>
      <c r="AD7" s="579"/>
      <c r="AE7" s="579"/>
      <c r="AF7" s="579"/>
      <c r="AG7" s="579"/>
      <c r="AH7" s="579"/>
      <c r="AI7" s="579"/>
      <c r="AJ7" s="579"/>
      <c r="AK7" s="579"/>
      <c r="AL7" s="579"/>
      <c r="AM7" s="579"/>
      <c r="AN7" s="579"/>
      <c r="AO7" s="579"/>
      <c r="AP7" s="579"/>
      <c r="AQ7" s="579"/>
      <c r="AR7" s="579"/>
      <c r="AS7" s="579"/>
      <c r="AT7" s="580"/>
      <c r="AU7" s="581"/>
      <c r="AW7" s="128"/>
      <c r="AX7" s="128" t="str">
        <f t="shared" si="18"/>
        <v/>
      </c>
      <c r="AY7" s="128"/>
      <c r="AZ7" s="128"/>
    </row>
    <row r="8" ht="21" hidden="1" customHeight="1">
      <c r="A8" s="478"/>
      <c r="B8" s="478"/>
      <c r="C8" s="478"/>
      <c r="D8" s="478"/>
      <c r="E8" s="490"/>
      <c r="F8" s="490"/>
      <c r="G8" s="490"/>
      <c r="H8" s="490"/>
      <c r="I8" s="501"/>
      <c r="J8" s="501"/>
      <c r="K8" s="167" t="e">
        <f>S5&amp;".1"</f>
        <v>#VALUE!</v>
      </c>
      <c r="L8" s="480"/>
      <c r="P8" s="131"/>
      <c r="Q8" s="131"/>
      <c r="R8" s="612">
        <v>1</v>
      </c>
      <c r="S8" s="613" t="e">
        <f>$K8</f>
        <v>#VALUE!</v>
      </c>
      <c r="T8" s="614"/>
      <c r="U8" s="485"/>
      <c r="V8" s="505"/>
      <c r="W8" s="507"/>
      <c r="X8" s="508"/>
      <c r="Y8" s="225" t="s">
        <v>56</v>
      </c>
      <c r="Z8" s="508"/>
      <c r="AA8" s="225" t="s">
        <v>56</v>
      </c>
      <c r="AB8" s="225" t="s">
        <v>54</v>
      </c>
      <c r="AC8" s="615"/>
      <c r="AD8" s="345">
        <v>1</v>
      </c>
      <c r="AE8" s="110"/>
      <c r="AF8" s="225" t="s">
        <v>54</v>
      </c>
      <c r="AG8" s="615"/>
      <c r="AH8" s="345">
        <v>1</v>
      </c>
      <c r="AI8" s="110"/>
      <c r="AJ8" s="225" t="s">
        <v>54</v>
      </c>
      <c r="AK8" s="616"/>
      <c r="AL8" s="345">
        <v>1</v>
      </c>
      <c r="AM8" s="115"/>
      <c r="AN8" s="505"/>
      <c r="AO8" s="507"/>
      <c r="AP8" s="508"/>
      <c r="AQ8" s="225" t="s">
        <v>56</v>
      </c>
      <c r="AR8" s="508"/>
      <c r="AS8" s="225" t="s">
        <v>56</v>
      </c>
      <c r="AT8" s="569"/>
      <c r="AU8" s="509" t="s">
        <v>453</v>
      </c>
      <c r="AV8" s="57" t="e">
        <f>STRCHECKDATE(V11:AT11)</f>
        <v>#NAME?</v>
      </c>
      <c r="AW8" s="128"/>
      <c r="AX8" s="128" t="str">
        <f t="shared" si="18"/>
        <v/>
      </c>
      <c r="AY8" s="128"/>
      <c r="AZ8" s="128"/>
    </row>
    <row r="9" ht="11.25" hidden="1" customHeight="1">
      <c r="A9" s="478"/>
      <c r="B9" s="478"/>
      <c r="C9" s="478"/>
      <c r="D9" s="478"/>
      <c r="E9" s="490"/>
      <c r="F9" s="490"/>
      <c r="G9" s="490"/>
      <c r="H9" s="490"/>
      <c r="I9" s="501"/>
      <c r="J9" s="501"/>
      <c r="K9" s="167"/>
      <c r="L9" s="480"/>
      <c r="P9" s="131"/>
      <c r="Q9" s="131"/>
      <c r="R9" s="612"/>
      <c r="S9" s="617"/>
      <c r="T9" s="618"/>
      <c r="U9" s="485"/>
      <c r="V9" s="598"/>
      <c r="W9" s="619"/>
      <c r="X9" s="508"/>
      <c r="Y9" s="225"/>
      <c r="Z9" s="508"/>
      <c r="AA9" s="225"/>
      <c r="AB9" s="225"/>
      <c r="AC9" s="615"/>
      <c r="AD9" s="345"/>
      <c r="AE9" s="110"/>
      <c r="AF9" s="225"/>
      <c r="AG9" s="615"/>
      <c r="AH9" s="345"/>
      <c r="AI9" s="110"/>
      <c r="AJ9" s="225"/>
      <c r="AK9" s="620"/>
      <c r="AL9" s="179"/>
      <c r="AM9" s="174" t="s">
        <v>454</v>
      </c>
      <c r="AN9" s="598"/>
      <c r="AO9" s="621"/>
      <c r="AP9" s="598"/>
      <c r="AQ9" s="598"/>
      <c r="AR9" s="598"/>
      <c r="AS9" s="598"/>
      <c r="AT9" s="622"/>
      <c r="AU9" s="512"/>
      <c r="AW9" s="128"/>
      <c r="AX9" s="128"/>
      <c r="AY9" s="128"/>
      <c r="AZ9" s="128"/>
    </row>
    <row r="10" ht="11.25" hidden="1" customHeight="1">
      <c r="A10" s="478"/>
      <c r="B10" s="478"/>
      <c r="C10" s="478"/>
      <c r="D10" s="478"/>
      <c r="E10" s="490"/>
      <c r="F10" s="490"/>
      <c r="G10" s="490"/>
      <c r="H10" s="490"/>
      <c r="I10" s="501"/>
      <c r="J10" s="501"/>
      <c r="K10" s="167"/>
      <c r="L10" s="480"/>
      <c r="P10" s="131"/>
      <c r="Q10" s="131"/>
      <c r="R10" s="612"/>
      <c r="S10" s="617"/>
      <c r="T10" s="618"/>
      <c r="U10" s="485"/>
      <c r="V10" s="598"/>
      <c r="W10" s="619"/>
      <c r="X10" s="508"/>
      <c r="Y10" s="225"/>
      <c r="Z10" s="508"/>
      <c r="AA10" s="225"/>
      <c r="AB10" s="225"/>
      <c r="AC10" s="615"/>
      <c r="AD10" s="345"/>
      <c r="AE10" s="110"/>
      <c r="AF10" s="225"/>
      <c r="AG10" s="623"/>
      <c r="AH10" s="174"/>
      <c r="AI10" s="174" t="s">
        <v>455</v>
      </c>
      <c r="AJ10" s="598"/>
      <c r="AK10" s="598"/>
      <c r="AL10" s="598"/>
      <c r="AM10" s="598"/>
      <c r="AN10" s="598"/>
      <c r="AO10" s="621"/>
      <c r="AP10" s="598"/>
      <c r="AQ10" s="598"/>
      <c r="AR10" s="598"/>
      <c r="AS10" s="598"/>
      <c r="AT10" s="622"/>
      <c r="AU10" s="512"/>
      <c r="AW10" s="128"/>
      <c r="AX10" s="128"/>
      <c r="AY10" s="128"/>
      <c r="AZ10" s="128"/>
    </row>
    <row r="11" ht="11.25" hidden="1" customHeight="1">
      <c r="A11" s="478"/>
      <c r="B11" s="478"/>
      <c r="C11" s="478"/>
      <c r="D11" s="478"/>
      <c r="E11" s="490"/>
      <c r="F11" s="490"/>
      <c r="G11" s="490"/>
      <c r="H11" s="490"/>
      <c r="I11" s="501"/>
      <c r="J11" s="501"/>
      <c r="K11" s="167"/>
      <c r="L11" s="480"/>
      <c r="P11" s="131"/>
      <c r="Q11" s="131"/>
      <c r="R11" s="612"/>
      <c r="S11" s="624"/>
      <c r="T11" s="625"/>
      <c r="U11" s="485"/>
      <c r="V11" s="598"/>
      <c r="W11" s="626" t="str">
        <f>X8&amp;"-"&amp;Z8</f>
        <v>-</v>
      </c>
      <c r="X11" s="511"/>
      <c r="Y11" s="225"/>
      <c r="Z11" s="511"/>
      <c r="AA11" s="225"/>
      <c r="AB11" s="225"/>
      <c r="AC11" s="627"/>
      <c r="AD11" s="628"/>
      <c r="AE11" s="174" t="s">
        <v>456</v>
      </c>
      <c r="AF11" s="598"/>
      <c r="AG11" s="598"/>
      <c r="AH11" s="598"/>
      <c r="AI11" s="598"/>
      <c r="AJ11" s="598"/>
      <c r="AK11" s="598"/>
      <c r="AL11" s="598"/>
      <c r="AM11" s="598"/>
      <c r="AN11" s="598"/>
      <c r="AO11" s="599" t="str">
        <f>AP8&amp;"-"&amp;AR8</f>
        <v>-</v>
      </c>
      <c r="AP11" s="598"/>
      <c r="AQ11" s="598"/>
      <c r="AR11" s="598"/>
      <c r="AS11" s="598"/>
      <c r="AT11" s="571"/>
      <c r="AU11" s="512"/>
      <c r="AW11" s="128"/>
      <c r="AX11" s="128" t="str">
        <f t="shared" ref="AX11:AX62" si="19">IF(T11="","",T11)</f>
        <v/>
      </c>
      <c r="AY11" s="128"/>
      <c r="AZ11" s="128"/>
    </row>
    <row r="12" ht="11.25" hidden="1" customHeight="1">
      <c r="A12" s="478"/>
      <c r="B12" s="478"/>
      <c r="C12" s="478"/>
      <c r="D12" s="478"/>
      <c r="E12" s="490"/>
      <c r="F12" s="490"/>
      <c r="G12" s="490"/>
      <c r="H12" s="490"/>
      <c r="I12" s="501"/>
      <c r="J12" s="167"/>
      <c r="K12" s="478"/>
      <c r="L12" s="480"/>
      <c r="P12" s="131"/>
      <c r="Q12" s="131"/>
      <c r="R12" s="497"/>
      <c r="S12" s="513"/>
      <c r="T12" s="517" t="s">
        <v>457</v>
      </c>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515"/>
      <c r="AU12" s="516"/>
      <c r="AW12" s="128"/>
      <c r="AX12" s="128" t="str">
        <f t="shared" si="19"/>
        <v xml:space="preserve">Добавить строку</v>
      </c>
      <c r="AY12" s="128"/>
      <c r="AZ12" s="128"/>
    </row>
    <row r="13" s="57" customFormat="1" ht="14.25" hidden="1" customHeight="1">
      <c r="A13" s="132"/>
      <c r="B13" s="132"/>
      <c r="C13" s="132"/>
      <c r="D13" s="132"/>
      <c r="E13" s="490"/>
      <c r="F13" s="490"/>
      <c r="G13" s="490"/>
      <c r="H13" s="490"/>
      <c r="I13" s="167"/>
      <c r="J13" s="132"/>
      <c r="K13" s="132"/>
      <c r="L13" s="213"/>
      <c r="M13" s="586"/>
      <c r="N13" s="586"/>
      <c r="O13" s="586"/>
      <c r="P13" s="131"/>
      <c r="Q13" s="131"/>
      <c r="R13" s="497"/>
      <c r="S13" s="582"/>
      <c r="T13" s="583"/>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5"/>
      <c r="AW13" s="128"/>
      <c r="AX13" s="128" t="str">
        <f t="shared" si="19"/>
        <v/>
      </c>
      <c r="AY13" s="128"/>
      <c r="AZ13" s="128"/>
    </row>
    <row r="14" s="57" customFormat="1" ht="14.25" hidden="1" customHeight="1">
      <c r="A14" s="132"/>
      <c r="B14" s="132"/>
      <c r="C14" s="132"/>
      <c r="D14" s="132"/>
      <c r="E14" s="490"/>
      <c r="F14" s="490"/>
      <c r="G14" s="490"/>
      <c r="H14" s="479"/>
      <c r="I14" s="132"/>
      <c r="J14" s="132"/>
      <c r="K14" s="132"/>
      <c r="L14" s="213"/>
      <c r="M14" s="463"/>
      <c r="N14" s="463"/>
      <c r="O14" s="57"/>
      <c r="P14" s="166"/>
      <c r="Q14" s="522"/>
      <c r="R14" s="629"/>
      <c r="S14" s="582"/>
      <c r="T14" s="583"/>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5"/>
      <c r="AW14" s="128"/>
      <c r="AX14" s="128" t="str">
        <f t="shared" si="19"/>
        <v/>
      </c>
      <c r="AY14" s="128"/>
      <c r="AZ14" s="128"/>
    </row>
    <row r="15" s="57" customFormat="1" ht="14.25" hidden="1" customHeight="1">
      <c r="A15" s="132"/>
      <c r="B15" s="132"/>
      <c r="C15" s="132"/>
      <c r="D15" s="132"/>
      <c r="E15" s="490"/>
      <c r="F15" s="490"/>
      <c r="G15" s="479"/>
      <c r="H15" s="132"/>
      <c r="I15" s="132"/>
      <c r="J15" s="132"/>
      <c r="K15" s="132"/>
      <c r="L15" s="213"/>
      <c r="M15" s="463"/>
      <c r="N15" s="463"/>
      <c r="P15" s="166"/>
      <c r="Q15" s="522"/>
      <c r="R15" s="166"/>
      <c r="S15" s="527"/>
      <c r="T15" s="530" t="s">
        <v>404</v>
      </c>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W15" s="128"/>
      <c r="AX15" s="128" t="str">
        <f t="shared" si="19"/>
        <v xml:space="preserve">Добавить источник для дифференциации</v>
      </c>
      <c r="AY15" s="128"/>
      <c r="AZ15" s="128"/>
    </row>
    <row r="16" s="57" customFormat="1" ht="14.25" hidden="1" customHeight="1">
      <c r="A16" s="132"/>
      <c r="B16" s="132"/>
      <c r="C16" s="132"/>
      <c r="D16" s="132"/>
      <c r="E16" s="490"/>
      <c r="F16" s="479"/>
      <c r="G16" s="132"/>
      <c r="H16" s="132"/>
      <c r="I16" s="132"/>
      <c r="J16" s="132"/>
      <c r="K16" s="132"/>
      <c r="L16" s="213"/>
      <c r="M16" s="526"/>
      <c r="N16" s="526"/>
      <c r="P16" s="166"/>
      <c r="Q16" s="522"/>
      <c r="R16" s="166"/>
      <c r="S16" s="527"/>
      <c r="T16" s="530" t="s">
        <v>405</v>
      </c>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W16" s="128"/>
      <c r="AX16" s="128" t="str">
        <f t="shared" si="19"/>
        <v xml:space="preserve">Добавить централизованную систему для дифференциации</v>
      </c>
      <c r="AY16" s="128"/>
      <c r="AZ16" s="128"/>
    </row>
    <row r="17" s="57" customFormat="1" ht="14.25" hidden="1" customHeight="1">
      <c r="A17" s="132"/>
      <c r="B17" s="132"/>
      <c r="C17" s="132"/>
      <c r="D17" s="132"/>
      <c r="E17" s="479"/>
      <c r="F17" s="132"/>
      <c r="G17" s="132"/>
      <c r="H17" s="132"/>
      <c r="I17" s="132"/>
      <c r="J17" s="132"/>
      <c r="K17" s="132"/>
      <c r="L17" s="213"/>
      <c r="M17" s="526"/>
      <c r="N17" s="526"/>
      <c r="O17" s="57"/>
      <c r="P17" s="166"/>
      <c r="Q17" s="522"/>
      <c r="R17" s="166"/>
      <c r="S17" s="527"/>
      <c r="T17" s="530" t="s">
        <v>406</v>
      </c>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W17" s="128"/>
      <c r="AX17" s="128" t="str">
        <f t="shared" si="19"/>
        <v xml:space="preserve">Добавить территорию для дифференциации</v>
      </c>
      <c r="AY17" s="128"/>
      <c r="AZ17" s="128"/>
    </row>
    <row r="18" ht="14.25" hidden="1" customHeight="1">
      <c r="AA18" s="50"/>
      <c r="AS18" s="50"/>
    </row>
    <row r="19" ht="14.25" hidden="1" customHeight="1">
      <c r="AB19" s="529" t="s">
        <v>54</v>
      </c>
      <c r="AC19" s="630"/>
      <c r="AD19" s="529">
        <v>1</v>
      </c>
      <c r="AE19" s="631"/>
      <c r="AF19" s="529" t="s">
        <v>54</v>
      </c>
      <c r="AG19" s="630"/>
      <c r="AH19" s="529">
        <v>1</v>
      </c>
      <c r="AI19" s="631"/>
      <c r="AJ19" s="529" t="s">
        <v>54</v>
      </c>
      <c r="AK19" s="632"/>
      <c r="AL19" s="529">
        <v>1</v>
      </c>
      <c r="AM19" s="633"/>
      <c r="AN19" s="634"/>
      <c r="AO19" s="635"/>
      <c r="AP19" s="636"/>
      <c r="AQ19" s="637" t="s">
        <v>56</v>
      </c>
      <c r="AR19" s="636"/>
      <c r="AS19" s="637" t="s">
        <v>56</v>
      </c>
    </row>
    <row r="20" ht="14.25" hidden="1" customHeight="1">
      <c r="AV20" s="130"/>
      <c r="AW20" s="130"/>
      <c r="AX20" s="130"/>
      <c r="AY20" s="130"/>
      <c r="AZ20" s="130"/>
    </row>
    <row r="21" ht="14.25" hidden="1" customHeight="1">
      <c r="O21" s="535" t="s">
        <v>407</v>
      </c>
      <c r="X21" s="606"/>
      <c r="Z21" s="606"/>
      <c r="AA21" s="50"/>
      <c r="AP21" s="606"/>
      <c r="AR21" s="606"/>
      <c r="AS21" s="50"/>
      <c r="AV21" s="130"/>
      <c r="AW21" s="130"/>
      <c r="AX21" s="130"/>
      <c r="AY21" s="130"/>
      <c r="AZ21" s="130"/>
    </row>
    <row r="22" ht="14.25" hidden="1" customHeight="1">
      <c r="AA22" s="50"/>
      <c r="AS22" s="50"/>
      <c r="AV22" s="130"/>
      <c r="AW22" s="130"/>
      <c r="AX22" s="130"/>
      <c r="AY22" s="130"/>
      <c r="AZ22" s="130"/>
    </row>
    <row r="23" s="638" customFormat="1" ht="14.25" hidden="1" customHeight="1">
      <c r="M23" s="639"/>
      <c r="N23" s="639"/>
      <c r="O23" s="638" t="s">
        <v>408</v>
      </c>
      <c r="P23" s="639"/>
      <c r="Q23" s="640"/>
      <c r="R23" s="640"/>
      <c r="Y23" s="638" t="s">
        <v>410</v>
      </c>
      <c r="AA23" s="638" t="s">
        <v>411</v>
      </c>
      <c r="AB23" s="638" t="s">
        <v>458</v>
      </c>
      <c r="AE23" s="638" t="s">
        <v>459</v>
      </c>
      <c r="AF23" s="638" t="s">
        <v>458</v>
      </c>
      <c r="AI23" s="638" t="s">
        <v>460</v>
      </c>
      <c r="AJ23" s="638" t="s">
        <v>458</v>
      </c>
      <c r="AM23" s="638" t="s">
        <v>461</v>
      </c>
      <c r="AQ23" s="638" t="s">
        <v>410</v>
      </c>
      <c r="AS23" s="638" t="s">
        <v>411</v>
      </c>
      <c r="AV23" s="641"/>
      <c r="AW23" s="641"/>
      <c r="AX23" s="641"/>
      <c r="AY23" s="641"/>
      <c r="AZ23" s="641"/>
    </row>
    <row r="24" ht="14.25" hidden="1" customHeight="1">
      <c r="O24" s="480"/>
      <c r="AV24" s="130"/>
      <c r="AW24" s="130"/>
      <c r="AX24" s="130"/>
      <c r="AY24" s="130"/>
      <c r="AZ24" s="130"/>
    </row>
    <row r="25" ht="14.25" hidden="1" customHeight="1">
      <c r="O25" s="480"/>
      <c r="AV25" s="130"/>
      <c r="AW25" s="130"/>
      <c r="AX25" s="130"/>
      <c r="AY25" s="130"/>
      <c r="AZ25" s="130"/>
    </row>
    <row r="26" ht="14.25" customHeight="1">
      <c r="Q26" s="642"/>
      <c r="R26" s="537"/>
      <c r="S26" s="538"/>
      <c r="T26" s="89"/>
      <c r="U26" s="89"/>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row>
    <row r="27" ht="26.25" customHeight="1">
      <c r="Q27" s="642"/>
      <c r="R27" s="537"/>
      <c r="S27" s="451" t="str">
        <f>IF(TEMPLATE_GROUP="P",PT_P_FORM_HEAT_7_NAME_FORM,PT_R_FORM_HEAT_24_NAME_FORM)</f>
        <v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241"/>
    </row>
    <row r="28" ht="14.25" customHeight="1">
      <c r="Q28" s="642"/>
      <c r="R28" s="537"/>
      <c r="S28" s="302" t="str">
        <f>IF(org=0,"Не определено",org)</f>
        <v xml:space="preserve">филиал ПАО "ОГК-2" - Адлерская ТЭС</v>
      </c>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241"/>
    </row>
    <row r="29" ht="14.25" hidden="1" customHeight="1">
      <c r="Q29" s="642"/>
      <c r="R29" s="537"/>
      <c r="S29" s="538"/>
      <c r="T29" s="89"/>
      <c r="U29" s="8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0"/>
    </row>
    <row r="30" s="185" customFormat="1" ht="25.5" hidden="1" customHeight="1">
      <c r="A30" s="150"/>
      <c r="B30" s="150"/>
      <c r="C30" s="150"/>
      <c r="D30" s="150"/>
      <c r="E30" s="150"/>
      <c r="F30" s="150"/>
      <c r="G30" s="150"/>
      <c r="H30" s="150"/>
      <c r="I30" s="150"/>
      <c r="J30" s="150"/>
      <c r="K30" s="150"/>
      <c r="L30" s="480"/>
      <c r="M30" s="150"/>
      <c r="N30" s="150"/>
      <c r="O30" s="150"/>
      <c r="P30" s="150"/>
      <c r="Q30" s="150"/>
      <c r="S30" s="540" t="s">
        <v>38</v>
      </c>
      <c r="T30" s="540"/>
      <c r="U30" s="541"/>
      <c r="V30" s="542" t="str">
        <f>IF(TITLE_NAME_OR_PR_CHANGE="",IF(TITLE_NAME_OR_PR="","",TITLE_NAME_OR_PR),TITLE_NAME_OR_PR_CHANGE)</f>
        <v/>
      </c>
      <c r="W30" s="542"/>
      <c r="X30" s="542"/>
      <c r="Y30" s="542"/>
      <c r="Z30" s="542"/>
      <c r="AA30" s="50"/>
      <c r="AB30" s="542" t="str">
        <f>IF(TITLE_NAME_OR_PR_CHANGE="",IF(TITLE_NAME_OR_PR="","",TITLE_NAME_OR_PR),TITLE_NAME_OR_PR_CHANGE)</f>
        <v/>
      </c>
      <c r="AC30" s="542"/>
      <c r="AD30" s="542"/>
      <c r="AE30" s="542"/>
      <c r="AF30" s="542"/>
      <c r="AG30" s="542"/>
      <c r="AH30" s="542"/>
      <c r="AI30" s="542"/>
      <c r="AJ30" s="542"/>
      <c r="AK30" s="542"/>
      <c r="AL30" s="542"/>
      <c r="AM30" s="542"/>
      <c r="AN30" s="542"/>
      <c r="AO30" s="542"/>
      <c r="AP30" s="542"/>
      <c r="AQ30" s="542"/>
      <c r="AR30" s="542"/>
      <c r="AS30" s="50"/>
      <c r="AT30" s="50"/>
      <c r="AU30" s="543"/>
      <c r="AV30" s="128"/>
      <c r="AW30" s="128"/>
      <c r="AX30" s="128"/>
      <c r="AY30" s="128"/>
      <c r="AZ30" s="128"/>
    </row>
    <row r="31" s="185" customFormat="1" ht="18.75" hidden="1" customHeight="1">
      <c r="A31" s="150"/>
      <c r="B31" s="150"/>
      <c r="C31" s="150"/>
      <c r="D31" s="150"/>
      <c r="E31" s="150"/>
      <c r="F31" s="150"/>
      <c r="G31" s="150"/>
      <c r="H31" s="150"/>
      <c r="I31" s="150"/>
      <c r="J31" s="150"/>
      <c r="K31" s="150"/>
      <c r="L31" s="480"/>
      <c r="M31" s="150"/>
      <c r="N31" s="150"/>
      <c r="O31" s="150"/>
      <c r="P31" s="150"/>
      <c r="Q31" s="150"/>
      <c r="S31" s="540" t="s">
        <v>413</v>
      </c>
      <c r="T31" s="540"/>
      <c r="U31" s="541"/>
      <c r="V31" s="544" t="str">
        <f>IF(TITLE_DATE_PR_CHANGE="",IF(TITLE_DATE_PR="","",TITLE_DATE_PR),TITLE_DATE_PR_CHANGE)</f>
        <v/>
      </c>
      <c r="W31" s="544"/>
      <c r="X31" s="544"/>
      <c r="Y31" s="544"/>
      <c r="Z31" s="544"/>
      <c r="AA31" s="50"/>
      <c r="AB31" s="544" t="str">
        <f>IF(TITLE_DATE_PR_CHANGE="",IF(TITLE_DATE_PR="","",TITLE_DATE_PR),TITLE_DATE_PR_CHANGE)</f>
        <v/>
      </c>
      <c r="AC31" s="544"/>
      <c r="AD31" s="544"/>
      <c r="AE31" s="544"/>
      <c r="AF31" s="544"/>
      <c r="AG31" s="544"/>
      <c r="AH31" s="544"/>
      <c r="AI31" s="544"/>
      <c r="AJ31" s="544"/>
      <c r="AK31" s="544"/>
      <c r="AL31" s="544"/>
      <c r="AM31" s="544"/>
      <c r="AN31" s="544"/>
      <c r="AO31" s="544"/>
      <c r="AP31" s="544"/>
      <c r="AQ31" s="544"/>
      <c r="AR31" s="544"/>
      <c r="AS31" s="50"/>
      <c r="AT31" s="50"/>
      <c r="AU31" s="543"/>
      <c r="AV31" s="128"/>
      <c r="AW31" s="128"/>
      <c r="AX31" s="128"/>
      <c r="AY31" s="128"/>
      <c r="AZ31" s="128"/>
    </row>
    <row r="32" s="185" customFormat="1" ht="18.75" hidden="1" customHeight="1">
      <c r="A32" s="150"/>
      <c r="B32" s="150"/>
      <c r="C32" s="150"/>
      <c r="D32" s="150"/>
      <c r="E32" s="150"/>
      <c r="F32" s="150"/>
      <c r="G32" s="150"/>
      <c r="H32" s="150"/>
      <c r="I32" s="150"/>
      <c r="J32" s="150"/>
      <c r="K32" s="150"/>
      <c r="L32" s="480"/>
      <c r="M32" s="150"/>
      <c r="N32" s="150"/>
      <c r="O32" s="150"/>
      <c r="P32" s="150"/>
      <c r="Q32" s="150"/>
      <c r="S32" s="540" t="s">
        <v>414</v>
      </c>
      <c r="T32" s="540"/>
      <c r="U32" s="541"/>
      <c r="V32" s="542" t="str">
        <f>IF(TITLE_NUMBER_PR_CHANGE="",IF(TITLE_NUMBER_PR="","",TITLE_NUMBER_PR),TITLE_NUMBER_PR_CHANGE)</f>
        <v/>
      </c>
      <c r="W32" s="542"/>
      <c r="X32" s="542"/>
      <c r="Y32" s="542"/>
      <c r="Z32" s="542"/>
      <c r="AA32" s="50"/>
      <c r="AB32" s="542" t="str">
        <f>IF(TITLE_NUMBER_PR_CHANGE="",IF(TITLE_NUMBER_PR="","",TITLE_NUMBER_PR),TITLE_NUMBER_PR_CHANGE)</f>
        <v/>
      </c>
      <c r="AC32" s="542"/>
      <c r="AD32" s="542"/>
      <c r="AE32" s="542"/>
      <c r="AF32" s="542"/>
      <c r="AG32" s="542"/>
      <c r="AH32" s="542"/>
      <c r="AI32" s="542"/>
      <c r="AJ32" s="542"/>
      <c r="AK32" s="542"/>
      <c r="AL32" s="542"/>
      <c r="AM32" s="542"/>
      <c r="AN32" s="542"/>
      <c r="AO32" s="542"/>
      <c r="AP32" s="542"/>
      <c r="AQ32" s="542"/>
      <c r="AR32" s="542"/>
      <c r="AS32" s="50"/>
      <c r="AT32" s="50"/>
      <c r="AU32" s="543"/>
      <c r="AV32" s="128"/>
      <c r="AW32" s="128"/>
      <c r="AX32" s="128"/>
      <c r="AY32" s="128"/>
      <c r="AZ32" s="128"/>
    </row>
    <row r="33" s="185" customFormat="1" ht="18.75" hidden="1" customHeight="1">
      <c r="A33" s="150"/>
      <c r="B33" s="150"/>
      <c r="C33" s="150"/>
      <c r="D33" s="150"/>
      <c r="E33" s="150"/>
      <c r="F33" s="150"/>
      <c r="G33" s="150"/>
      <c r="H33" s="150"/>
      <c r="I33" s="150"/>
      <c r="J33" s="150"/>
      <c r="K33" s="150"/>
      <c r="L33" s="480"/>
      <c r="M33" s="150"/>
      <c r="N33" s="150"/>
      <c r="O33" s="150"/>
      <c r="P33" s="150"/>
      <c r="Q33" s="150"/>
      <c r="S33" s="540" t="s">
        <v>39</v>
      </c>
      <c r="T33" s="540"/>
      <c r="U33" s="541"/>
      <c r="V33" s="542" t="str">
        <f>IF(TITLE_IST_PUB_CHANGE="",IF(TITLE_IST_PUB="","",TITLE_IST_PUB),TITLE_IST_PUB_CHANGE)</f>
        <v/>
      </c>
      <c r="W33" s="542"/>
      <c r="X33" s="542"/>
      <c r="Y33" s="542"/>
      <c r="Z33" s="542"/>
      <c r="AA33" s="50"/>
      <c r="AB33" s="542" t="str">
        <f>IF(TITLE_IST_PUB_CHANGE="",IF(TITLE_IST_PUB="","",TITLE_IST_PUB),TITLE_IST_PUB_CHANGE)</f>
        <v/>
      </c>
      <c r="AC33" s="542"/>
      <c r="AD33" s="542"/>
      <c r="AE33" s="542"/>
      <c r="AF33" s="542"/>
      <c r="AG33" s="542"/>
      <c r="AH33" s="542"/>
      <c r="AI33" s="542"/>
      <c r="AJ33" s="542"/>
      <c r="AK33" s="542"/>
      <c r="AL33" s="542"/>
      <c r="AM33" s="542"/>
      <c r="AN33" s="542"/>
      <c r="AO33" s="542"/>
      <c r="AP33" s="542"/>
      <c r="AQ33" s="542"/>
      <c r="AR33" s="542"/>
      <c r="AS33" s="50"/>
      <c r="AT33" s="50"/>
      <c r="AU33" s="543"/>
      <c r="AV33" s="128"/>
      <c r="AW33" s="128"/>
      <c r="AX33" s="128"/>
      <c r="AY33" s="128"/>
      <c r="AZ33" s="128"/>
    </row>
    <row r="34" ht="14.25" hidden="1" customHeight="1">
      <c r="Q34" s="642"/>
      <c r="R34" s="537"/>
      <c r="S34" s="538"/>
      <c r="T34" s="89"/>
      <c r="U34" s="8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0"/>
    </row>
    <row r="35" s="185" customFormat="1" ht="18.75" hidden="1" customHeight="1">
      <c r="A35" s="150"/>
      <c r="B35" s="150"/>
      <c r="C35" s="150"/>
      <c r="D35" s="150"/>
      <c r="E35" s="150"/>
      <c r="F35" s="150"/>
      <c r="G35" s="150"/>
      <c r="H35" s="150"/>
      <c r="I35" s="150"/>
      <c r="J35" s="150"/>
      <c r="K35" s="150"/>
      <c r="L35" s="480"/>
      <c r="M35" s="150"/>
      <c r="N35" s="150"/>
      <c r="O35" s="150"/>
      <c r="P35" s="150"/>
      <c r="Q35" s="150"/>
      <c r="S35" s="540" t="s">
        <v>413</v>
      </c>
      <c r="T35" s="540"/>
      <c r="U35" s="541"/>
      <c r="V35" s="544" t="str">
        <f>IF(TITLE_DATE_PR_CHANGE="",IF(TITLE_DATE_PR="","",TITLE_DATE_PR),TITLE_DATE_PR_CHANGE)</f>
        <v/>
      </c>
      <c r="W35" s="544"/>
      <c r="X35" s="544"/>
      <c r="Y35" s="544"/>
      <c r="Z35" s="544"/>
      <c r="AA35" s="50"/>
      <c r="AB35" s="544" t="str">
        <f>IF(TITLE_DATE_PR_CHANGE="",IF(TITLE_DATE_PR="","",TITLE_DATE_PR),TITLE_DATE_PR_CHANGE)</f>
        <v/>
      </c>
      <c r="AC35" s="544"/>
      <c r="AD35" s="544"/>
      <c r="AE35" s="544"/>
      <c r="AF35" s="544"/>
      <c r="AG35" s="544"/>
      <c r="AH35" s="544"/>
      <c r="AI35" s="544"/>
      <c r="AJ35" s="544"/>
      <c r="AK35" s="544"/>
      <c r="AL35" s="544"/>
      <c r="AM35" s="544"/>
      <c r="AN35" s="544"/>
      <c r="AO35" s="544"/>
      <c r="AP35" s="544"/>
      <c r="AQ35" s="544"/>
      <c r="AR35" s="544"/>
      <c r="AS35" s="50"/>
      <c r="AT35" s="50"/>
      <c r="AU35" s="543"/>
      <c r="AV35" s="128"/>
      <c r="AW35" s="128"/>
      <c r="AX35" s="128"/>
      <c r="AY35" s="128"/>
      <c r="AZ35" s="128"/>
    </row>
    <row r="36" s="185" customFormat="1" ht="18" hidden="1" customHeight="1">
      <c r="A36" s="150"/>
      <c r="B36" s="150"/>
      <c r="C36" s="150"/>
      <c r="D36" s="150"/>
      <c r="E36" s="150"/>
      <c r="F36" s="150"/>
      <c r="G36" s="150"/>
      <c r="H36" s="150"/>
      <c r="I36" s="150"/>
      <c r="J36" s="150"/>
      <c r="K36" s="150"/>
      <c r="L36" s="480"/>
      <c r="M36" s="150"/>
      <c r="N36" s="150"/>
      <c r="O36" s="150"/>
      <c r="P36" s="150"/>
      <c r="Q36" s="150"/>
      <c r="S36" s="540" t="s">
        <v>414</v>
      </c>
      <c r="T36" s="540"/>
      <c r="U36" s="541"/>
      <c r="V36" s="542" t="str">
        <f>IF(TITLE_NUMBER_PR_CHANGE="",IF(TITLE_NUMBER_PR="","",TITLE_NUMBER_PR),TITLE_NUMBER_PR_CHANGE)</f>
        <v/>
      </c>
      <c r="W36" s="542"/>
      <c r="X36" s="542"/>
      <c r="Y36" s="542"/>
      <c r="Z36" s="542"/>
      <c r="AA36" s="50"/>
      <c r="AB36" s="542" t="str">
        <f>IF(TITLE_NUMBER_PR_CHANGE="",IF(TITLE_NUMBER_PR="","",TITLE_NUMBER_PR),TITLE_NUMBER_PR_CHANGE)</f>
        <v/>
      </c>
      <c r="AC36" s="542"/>
      <c r="AD36" s="542"/>
      <c r="AE36" s="542"/>
      <c r="AF36" s="542"/>
      <c r="AG36" s="542"/>
      <c r="AH36" s="542"/>
      <c r="AI36" s="542"/>
      <c r="AJ36" s="542"/>
      <c r="AK36" s="542"/>
      <c r="AL36" s="542"/>
      <c r="AM36" s="542"/>
      <c r="AN36" s="542"/>
      <c r="AO36" s="542"/>
      <c r="AP36" s="542"/>
      <c r="AQ36" s="542"/>
      <c r="AR36" s="542"/>
      <c r="AS36" s="50"/>
      <c r="AT36" s="50"/>
      <c r="AU36" s="543"/>
      <c r="AV36" s="128"/>
      <c r="AW36" s="128"/>
      <c r="AX36" s="128"/>
      <c r="AY36" s="128"/>
      <c r="AZ36" s="128"/>
    </row>
    <row r="37" s="185" customFormat="1" ht="0.75" customHeight="1">
      <c r="A37" s="150"/>
      <c r="B37" s="150"/>
      <c r="C37" s="150"/>
      <c r="D37" s="150"/>
      <c r="E37" s="150"/>
      <c r="F37" s="150"/>
      <c r="G37" s="150"/>
      <c r="H37" s="150"/>
      <c r="I37" s="150"/>
      <c r="J37" s="150"/>
      <c r="K37" s="150"/>
      <c r="L37" s="480"/>
      <c r="M37" s="150"/>
      <c r="N37" s="150"/>
      <c r="O37" s="150"/>
      <c r="P37" s="150"/>
      <c r="Q37" s="150"/>
      <c r="S37" s="50"/>
      <c r="T37" s="50"/>
      <c r="U37" s="139"/>
      <c r="V37" s="50"/>
      <c r="W37" s="50"/>
      <c r="X37" s="50"/>
      <c r="Y37" s="50"/>
      <c r="Z37" s="50"/>
      <c r="AA37" s="57" t="s">
        <v>417</v>
      </c>
      <c r="AB37" s="50"/>
      <c r="AC37" s="50"/>
      <c r="AD37" s="50"/>
      <c r="AE37" s="50"/>
      <c r="AF37" s="50"/>
      <c r="AG37" s="50"/>
      <c r="AH37" s="50"/>
      <c r="AI37" s="50"/>
      <c r="AJ37" s="50"/>
      <c r="AK37" s="50"/>
      <c r="AL37" s="50"/>
      <c r="AM37" s="50"/>
      <c r="AN37" s="50"/>
      <c r="AO37" s="50"/>
      <c r="AP37" s="50"/>
      <c r="AQ37" s="50"/>
      <c r="AR37" s="50"/>
      <c r="AS37" s="57" t="s">
        <v>417</v>
      </c>
      <c r="AV37" s="128"/>
      <c r="AW37" s="128"/>
      <c r="AX37" s="128"/>
      <c r="AY37" s="128"/>
      <c r="AZ37" s="128"/>
    </row>
    <row r="38" ht="14.25" customHeight="1">
      <c r="Q38" s="642"/>
      <c r="R38" s="537"/>
      <c r="S38" s="538"/>
      <c r="T38" s="89"/>
      <c r="U38" s="545"/>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row>
    <row r="39" ht="14.25" customHeight="1">
      <c r="Q39" s="642"/>
      <c r="R39" s="537"/>
      <c r="S39" s="156" t="s">
        <v>288</v>
      </c>
      <c r="T39" s="156"/>
      <c r="U39" s="156"/>
      <c r="V39" s="156"/>
      <c r="W39" s="156"/>
      <c r="X39" s="156"/>
      <c r="Y39" s="156"/>
      <c r="Z39" s="156"/>
      <c r="AA39" s="156"/>
      <c r="AB39" s="306"/>
      <c r="AC39" s="306"/>
      <c r="AD39" s="306"/>
      <c r="AE39" s="306"/>
      <c r="AF39" s="156"/>
      <c r="AG39" s="156"/>
      <c r="AH39" s="156"/>
      <c r="AI39" s="156"/>
      <c r="AJ39" s="156"/>
      <c r="AK39" s="156"/>
      <c r="AL39" s="156"/>
      <c r="AM39" s="156"/>
      <c r="AN39" s="156"/>
      <c r="AO39" s="156"/>
      <c r="AP39" s="156"/>
      <c r="AQ39" s="156"/>
      <c r="AR39" s="156"/>
      <c r="AS39" s="156"/>
      <c r="AT39" s="156"/>
      <c r="AU39" s="156" t="s">
        <v>289</v>
      </c>
    </row>
    <row r="40" ht="14.25" customHeight="1">
      <c r="Q40" s="642"/>
      <c r="R40" s="537"/>
      <c r="S40" s="483" t="s">
        <v>85</v>
      </c>
      <c r="T40" s="347" t="s">
        <v>462</v>
      </c>
      <c r="U40" s="547"/>
      <c r="V40" s="549"/>
      <c r="W40" s="549"/>
      <c r="X40" s="549"/>
      <c r="Y40" s="549"/>
      <c r="Z40" s="550"/>
      <c r="AA40" s="643" t="s">
        <v>420</v>
      </c>
      <c r="AB40" s="644" t="s">
        <v>463</v>
      </c>
      <c r="AC40" s="574"/>
      <c r="AD40" s="574"/>
      <c r="AE40" s="645"/>
      <c r="AF40" s="574" t="s">
        <v>464</v>
      </c>
      <c r="AG40" s="574"/>
      <c r="AH40" s="574"/>
      <c r="AI40" s="645"/>
      <c r="AJ40" s="644" t="s">
        <v>465</v>
      </c>
      <c r="AK40" s="574"/>
      <c r="AL40" s="574"/>
      <c r="AM40" s="645"/>
      <c r="AN40" s="644" t="s">
        <v>419</v>
      </c>
      <c r="AO40" s="574"/>
      <c r="AP40" s="549"/>
      <c r="AQ40" s="549"/>
      <c r="AR40" s="550"/>
      <c r="AS40" s="551" t="s">
        <v>420</v>
      </c>
      <c r="AT40" s="552" t="s">
        <v>422</v>
      </c>
      <c r="AU40" s="156"/>
    </row>
    <row r="41" ht="33.75" customHeight="1">
      <c r="Q41" s="642"/>
      <c r="R41" s="537"/>
      <c r="S41" s="483"/>
      <c r="T41" s="347"/>
      <c r="U41" s="553"/>
      <c r="V41" s="303" t="s">
        <v>466</v>
      </c>
      <c r="W41" s="304"/>
      <c r="X41" s="303" t="s">
        <v>426</v>
      </c>
      <c r="Y41" s="607"/>
      <c r="Z41" s="304"/>
      <c r="AA41" s="646"/>
      <c r="AB41" s="647"/>
      <c r="AC41" s="648"/>
      <c r="AD41" s="648"/>
      <c r="AE41" s="649"/>
      <c r="AF41" s="648"/>
      <c r="AG41" s="648"/>
      <c r="AH41" s="648"/>
      <c r="AI41" s="649"/>
      <c r="AJ41" s="647"/>
      <c r="AK41" s="648"/>
      <c r="AL41" s="648"/>
      <c r="AM41" s="648"/>
      <c r="AN41" s="156" t="s">
        <v>467</v>
      </c>
      <c r="AO41" s="156"/>
      <c r="AP41" s="607" t="s">
        <v>426</v>
      </c>
      <c r="AQ41" s="607"/>
      <c r="AR41" s="304"/>
      <c r="AS41" s="555"/>
      <c r="AT41" s="556"/>
      <c r="AU41" s="156"/>
    </row>
    <row r="42" ht="14.25" customHeight="1">
      <c r="Q42" s="642"/>
      <c r="R42" s="537"/>
      <c r="S42" s="483"/>
      <c r="T42" s="347"/>
      <c r="U42" s="553"/>
      <c r="V42" s="309"/>
      <c r="W42" s="310"/>
      <c r="X42" s="309"/>
      <c r="Y42" s="608"/>
      <c r="Z42" s="310"/>
      <c r="AA42" s="646"/>
      <c r="AB42" s="647"/>
      <c r="AC42" s="648"/>
      <c r="AD42" s="648"/>
      <c r="AE42" s="649"/>
      <c r="AF42" s="648"/>
      <c r="AG42" s="648"/>
      <c r="AH42" s="648"/>
      <c r="AI42" s="649"/>
      <c r="AJ42" s="647"/>
      <c r="AK42" s="648"/>
      <c r="AL42" s="648"/>
      <c r="AM42" s="648"/>
      <c r="AN42" s="650"/>
      <c r="AO42" s="650"/>
      <c r="AP42" s="608"/>
      <c r="AQ42" s="608"/>
      <c r="AR42" s="310"/>
      <c r="AS42" s="555"/>
      <c r="AT42" s="556"/>
      <c r="AU42" s="156"/>
    </row>
    <row r="43" ht="14.25" customHeight="1">
      <c r="A43" s="150"/>
      <c r="B43" s="150" t="s">
        <v>137</v>
      </c>
      <c r="C43" s="150" t="s">
        <v>138</v>
      </c>
      <c r="D43" s="150" t="s">
        <v>139</v>
      </c>
      <c r="E43" s="480" t="s">
        <v>427</v>
      </c>
      <c r="F43" s="480" t="s">
        <v>428</v>
      </c>
      <c r="G43" s="480" t="s">
        <v>429</v>
      </c>
      <c r="H43" s="480" t="s">
        <v>430</v>
      </c>
      <c r="I43" s="480" t="s">
        <v>431</v>
      </c>
      <c r="J43" s="480" t="s">
        <v>432</v>
      </c>
      <c r="K43" s="480" t="s">
        <v>433</v>
      </c>
      <c r="L43" s="480" t="s">
        <v>408</v>
      </c>
      <c r="Q43" s="642"/>
      <c r="R43" s="537"/>
      <c r="S43" s="483"/>
      <c r="T43" s="347"/>
      <c r="U43" s="557"/>
      <c r="V43" s="347" t="s">
        <v>468</v>
      </c>
      <c r="W43" s="347" t="s">
        <v>469</v>
      </c>
      <c r="X43" s="247" t="s">
        <v>436</v>
      </c>
      <c r="Y43" s="414" t="s">
        <v>437</v>
      </c>
      <c r="Z43" s="416"/>
      <c r="AA43" s="651"/>
      <c r="AB43" s="652"/>
      <c r="AC43" s="653"/>
      <c r="AD43" s="653"/>
      <c r="AE43" s="654"/>
      <c r="AF43" s="653"/>
      <c r="AG43" s="653"/>
      <c r="AH43" s="653"/>
      <c r="AI43" s="654"/>
      <c r="AJ43" s="652"/>
      <c r="AK43" s="653"/>
      <c r="AL43" s="653"/>
      <c r="AM43" s="654"/>
      <c r="AN43" s="559" t="s">
        <v>468</v>
      </c>
      <c r="AO43" s="559" t="s">
        <v>469</v>
      </c>
      <c r="AP43" s="247" t="s">
        <v>436</v>
      </c>
      <c r="AQ43" s="414" t="s">
        <v>437</v>
      </c>
      <c r="AR43" s="416"/>
      <c r="AS43" s="559"/>
      <c r="AT43" s="560"/>
      <c r="AU43" s="156"/>
    </row>
    <row r="44" s="130" customFormat="1" ht="11.25" hidden="1" customHeight="1">
      <c r="A44" s="150"/>
      <c r="B44" s="150"/>
      <c r="C44" s="150"/>
      <c r="D44" s="150"/>
      <c r="E44" s="150"/>
      <c r="F44" s="150"/>
      <c r="G44" s="150"/>
      <c r="H44" s="150"/>
      <c r="I44" s="150"/>
      <c r="J44" s="150"/>
      <c r="K44" s="150"/>
      <c r="L44" s="480"/>
      <c r="M44" s="61"/>
      <c r="N44" s="61"/>
      <c r="O44" s="61"/>
      <c r="P44" s="586"/>
      <c r="Q44" s="563"/>
      <c r="R44" s="563">
        <v>1</v>
      </c>
      <c r="S44" s="564" t="s">
        <v>111</v>
      </c>
      <c r="T44" s="565" t="s">
        <v>99</v>
      </c>
      <c r="U44" s="566" t="str">
        <f ca="1">OFFSET(U44,0,-1)</f>
        <v>2</v>
      </c>
      <c r="V44" s="567">
        <f ca="1">OFFSET(V44,0,-1)+1</f>
        <v>3</v>
      </c>
      <c r="W44" s="567">
        <f ca="1">OFFSET(W44,0,-1)+1</f>
        <v>4</v>
      </c>
      <c r="X44" s="567">
        <f ca="1">OFFSET(X44,0,-1)+1</f>
        <v>5</v>
      </c>
      <c r="Y44" s="567">
        <f ca="1">OFFSET(Y44,0,-1)+1</f>
        <v>6</v>
      </c>
      <c r="Z44" s="567"/>
      <c r="AA44" s="567">
        <f ca="1">OFFSET(AA44,0,-2)+1</f>
        <v>7</v>
      </c>
      <c r="AB44" s="425">
        <f ca="1">OFFSET(AB44,0,-1)+1</f>
        <v>8</v>
      </c>
      <c r="AC44" s="425"/>
      <c r="AD44" s="425"/>
      <c r="AE44" s="425"/>
      <c r="AF44" s="567"/>
      <c r="AG44" s="567"/>
      <c r="AH44" s="567"/>
      <c r="AI44" s="567"/>
      <c r="AJ44" s="567"/>
      <c r="AK44" s="567"/>
      <c r="AL44" s="567"/>
      <c r="AM44" s="567"/>
      <c r="AN44" s="567">
        <f ca="1">OFFSET(AN44,0,-1)+1</f>
        <v>1</v>
      </c>
      <c r="AO44" s="567">
        <f ca="1">OFFSET(AO44,0,-1)+1</f>
        <v>2</v>
      </c>
      <c r="AP44" s="567">
        <f ca="1">OFFSET(AP44,0,-1)+1</f>
        <v>3</v>
      </c>
      <c r="AQ44" s="567">
        <f ca="1">OFFSET(AQ44,0,-1)+1</f>
        <v>4</v>
      </c>
      <c r="AR44" s="567"/>
      <c r="AS44" s="567">
        <f ca="1">OFFSET(AS44,0,-2)+1</f>
        <v>5</v>
      </c>
      <c r="AT44" s="566">
        <f ca="1">OFFSET(AT44,0,-1)</f>
        <v>5</v>
      </c>
      <c r="AU44" s="567">
        <f ca="1">OFFSET(AU44,0,-1)+1</f>
        <v>6</v>
      </c>
      <c r="AV44" s="57"/>
      <c r="AW44" s="57"/>
      <c r="AX44" s="57"/>
      <c r="AY44" s="57"/>
      <c r="AZ44" s="57"/>
    </row>
    <row r="45" ht="102" customHeight="1">
      <c r="A45" s="478" t="s">
        <v>200</v>
      </c>
      <c r="B45" s="478"/>
      <c r="C45" s="478"/>
      <c r="D45" s="478"/>
      <c r="E45" s="479">
        <v>1</v>
      </c>
      <c r="F45" s="478"/>
      <c r="G45" s="478"/>
      <c r="H45" s="478"/>
      <c r="I45" s="478"/>
      <c r="J45" s="478"/>
      <c r="K45" s="478"/>
      <c r="L45" s="480"/>
      <c r="M45" s="481"/>
      <c r="N45" s="481"/>
      <c r="O45" s="481"/>
      <c r="P45" s="61"/>
      <c r="Q45" s="64"/>
      <c r="R45" s="482"/>
      <c r="S45" s="483">
        <f>INDEX(PT_DIFFERENTIATION_NUM_NTAR,MATCH(A45,PT_DIFFERENTIATION_NTAR_ID,0))</f>
        <v>0</v>
      </c>
      <c r="T45" s="484" t="s">
        <v>125</v>
      </c>
      <c r="U45" s="485"/>
      <c r="V45" s="487"/>
      <c r="W45" s="487"/>
      <c r="X45" s="487"/>
      <c r="Y45" s="487"/>
      <c r="Z45" s="487"/>
      <c r="AA45" s="488"/>
      <c r="AB45" s="486" t="str">
        <f>INDEX(PT_DIFFERENTIATION_NTAR,MATCH(A45,PT_DIFFERENTIATION_NTAR_ID,0))</f>
        <v/>
      </c>
      <c r="AC45" s="487"/>
      <c r="AD45" s="487"/>
      <c r="AE45" s="487"/>
      <c r="AF45" s="487"/>
      <c r="AG45" s="487"/>
      <c r="AH45" s="487"/>
      <c r="AI45" s="487"/>
      <c r="AJ45" s="487"/>
      <c r="AK45" s="487"/>
      <c r="AL45" s="487"/>
      <c r="AM45" s="487"/>
      <c r="AN45" s="487"/>
      <c r="AO45" s="487"/>
      <c r="AP45" s="487"/>
      <c r="AQ45" s="487"/>
      <c r="AR45" s="487"/>
      <c r="AS45" s="487"/>
      <c r="AT45" s="488"/>
      <c r="AU45" s="48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8"/>
      <c r="AX45" s="128" t="str">
        <f t="shared" si="19"/>
        <v xml:space="preserve">Наименование тарифа</v>
      </c>
      <c r="AY45" s="128"/>
      <c r="AZ45" s="128"/>
    </row>
    <row r="46" ht="21" customHeight="1">
      <c r="A46" s="478" t="s">
        <v>200</v>
      </c>
      <c r="B46" s="478" t="s">
        <v>201</v>
      </c>
      <c r="C46" s="478"/>
      <c r="D46" s="478"/>
      <c r="E46" s="490"/>
      <c r="F46" s="479">
        <v>1</v>
      </c>
      <c r="G46" s="478"/>
      <c r="H46" s="478"/>
      <c r="I46" s="478"/>
      <c r="J46" s="478"/>
      <c r="K46" s="478"/>
      <c r="L46" s="480"/>
      <c r="M46" s="481"/>
      <c r="N46" s="481"/>
      <c r="O46" s="481"/>
      <c r="P46" s="113"/>
      <c r="Q46" s="610"/>
      <c r="R46" s="492"/>
      <c r="S46" s="483" t="str">
        <f>INDEX(PT_DIFFERENTIATION_NUM_TER,MATCH(B46,PT_DIFFERENTIATION_TER_ID,0))</f>
        <v>.</v>
      </c>
      <c r="T46" s="493" t="s">
        <v>387</v>
      </c>
      <c r="U46" s="485"/>
      <c r="V46" s="487"/>
      <c r="W46" s="487"/>
      <c r="X46" s="487"/>
      <c r="Y46" s="487"/>
      <c r="Z46" s="487"/>
      <c r="AA46" s="488"/>
      <c r="AB46" s="486" t="str">
        <f>INDEX(PT_DIFFERENTIATION_TER,MATCH(B46,PT_DIFFERENTIATION_TER_ID,0))</f>
        <v/>
      </c>
      <c r="AC46" s="487"/>
      <c r="AD46" s="487"/>
      <c r="AE46" s="487"/>
      <c r="AF46" s="487"/>
      <c r="AG46" s="487"/>
      <c r="AH46" s="487"/>
      <c r="AI46" s="487"/>
      <c r="AJ46" s="487"/>
      <c r="AK46" s="487"/>
      <c r="AL46" s="487"/>
      <c r="AM46" s="487"/>
      <c r="AN46" s="487"/>
      <c r="AO46" s="487"/>
      <c r="AP46" s="487"/>
      <c r="AQ46" s="487"/>
      <c r="AR46" s="487"/>
      <c r="AS46" s="487"/>
      <c r="AT46" s="488"/>
      <c r="AU46" s="489" t="s">
        <v>388</v>
      </c>
      <c r="AW46" s="128"/>
      <c r="AX46" s="128" t="str">
        <f t="shared" si="19"/>
        <v xml:space="preserve">Территория действия тарифа</v>
      </c>
      <c r="AY46" s="128"/>
      <c r="AZ46" s="128"/>
    </row>
    <row r="47" ht="23.25" customHeight="1">
      <c r="A47" s="478" t="s">
        <v>200</v>
      </c>
      <c r="B47" s="478" t="s">
        <v>201</v>
      </c>
      <c r="C47" s="478" t="s">
        <v>202</v>
      </c>
      <c r="D47" s="478"/>
      <c r="E47" s="490"/>
      <c r="F47" s="490"/>
      <c r="G47" s="479">
        <v>1</v>
      </c>
      <c r="H47" s="478"/>
      <c r="I47" s="478"/>
      <c r="J47" s="478"/>
      <c r="K47" s="478"/>
      <c r="L47" s="480"/>
      <c r="M47" s="481"/>
      <c r="N47" s="481"/>
      <c r="O47" s="481"/>
      <c r="P47" s="134"/>
      <c r="Q47" s="610"/>
      <c r="R47" s="492"/>
      <c r="S47" s="483" t="str">
        <f>INDEX(PT_DIFFERENTIATION_NUM_CS,MATCH(C47,PT_DIFFERENTIATION_CS_ID,0))</f>
        <v>..</v>
      </c>
      <c r="T47" s="495" t="s">
        <v>389</v>
      </c>
      <c r="U47" s="485"/>
      <c r="V47" s="487"/>
      <c r="W47" s="487"/>
      <c r="X47" s="487"/>
      <c r="Y47" s="487"/>
      <c r="Z47" s="487"/>
      <c r="AA47" s="488"/>
      <c r="AB47" s="486" t="str">
        <f>INDEX(PT_DIFFERENTIATION_CS,MATCH(C47,PT_DIFFERENTIATION_CS_ID,0))</f>
        <v/>
      </c>
      <c r="AC47" s="487"/>
      <c r="AD47" s="487"/>
      <c r="AE47" s="487"/>
      <c r="AF47" s="487"/>
      <c r="AG47" s="487"/>
      <c r="AH47" s="487"/>
      <c r="AI47" s="487"/>
      <c r="AJ47" s="487"/>
      <c r="AK47" s="487"/>
      <c r="AL47" s="487"/>
      <c r="AM47" s="487"/>
      <c r="AN47" s="487"/>
      <c r="AO47" s="487"/>
      <c r="AP47" s="487"/>
      <c r="AQ47" s="487"/>
      <c r="AR47" s="487"/>
      <c r="AS47" s="487"/>
      <c r="AT47" s="488"/>
      <c r="AU47" s="489" t="s">
        <v>390</v>
      </c>
      <c r="AW47" s="128"/>
      <c r="AX47" s="128" t="str">
        <f t="shared" si="19"/>
        <v xml:space="preserve">Наименование системы теплоснабжения</v>
      </c>
      <c r="AY47" s="128"/>
      <c r="AZ47" s="128"/>
    </row>
    <row r="48" ht="21" customHeight="1">
      <c r="A48" s="478" t="s">
        <v>200</v>
      </c>
      <c r="B48" s="478" t="s">
        <v>201</v>
      </c>
      <c r="C48" s="478" t="s">
        <v>202</v>
      </c>
      <c r="D48" s="478" t="s">
        <v>203</v>
      </c>
      <c r="E48" s="490"/>
      <c r="F48" s="490"/>
      <c r="G48" s="490"/>
      <c r="H48" s="479">
        <v>1</v>
      </c>
      <c r="I48" s="478"/>
      <c r="J48" s="478"/>
      <c r="K48" s="478"/>
      <c r="L48" s="480"/>
      <c r="M48" s="481"/>
      <c r="N48" s="481"/>
      <c r="O48" s="481"/>
      <c r="P48" s="134"/>
      <c r="Q48" s="610"/>
      <c r="R48" s="492"/>
      <c r="S48" s="483" t="str">
        <f>INDEX(PT_DIFFERENTIATION_NUM_IST_TE,MATCH(D48,PT_DIFFERENTIATION_IST_TE_ID,0))</f>
        <v>...</v>
      </c>
      <c r="T48" s="496" t="s">
        <v>391</v>
      </c>
      <c r="U48" s="485"/>
      <c r="V48" s="487"/>
      <c r="W48" s="487"/>
      <c r="X48" s="487"/>
      <c r="Y48" s="487"/>
      <c r="Z48" s="487"/>
      <c r="AA48" s="488"/>
      <c r="AB48" s="486" t="str">
        <f>INDEX(PT_DIFFERENTIATION_IST_TE,MATCH(D48,PT_DIFFERENTIATION_IST_TE_ID,0))</f>
        <v/>
      </c>
      <c r="AC48" s="487"/>
      <c r="AD48" s="487"/>
      <c r="AE48" s="487"/>
      <c r="AF48" s="487"/>
      <c r="AG48" s="487"/>
      <c r="AH48" s="487"/>
      <c r="AI48" s="487"/>
      <c r="AJ48" s="487"/>
      <c r="AK48" s="487"/>
      <c r="AL48" s="487"/>
      <c r="AM48" s="487"/>
      <c r="AN48" s="487"/>
      <c r="AO48" s="487"/>
      <c r="AP48" s="487"/>
      <c r="AQ48" s="487"/>
      <c r="AR48" s="487"/>
      <c r="AS48" s="487"/>
      <c r="AT48" s="488"/>
      <c r="AU48" s="489" t="s">
        <v>392</v>
      </c>
      <c r="AW48" s="128"/>
      <c r="AX48" s="128" t="str">
        <f t="shared" si="19"/>
        <v xml:space="preserve">Источник тепловой энергии</v>
      </c>
      <c r="AY48" s="128"/>
      <c r="AZ48" s="128"/>
    </row>
    <row r="49" s="57" customFormat="1" ht="0" customHeight="1">
      <c r="A49" s="132" t="s">
        <v>200</v>
      </c>
      <c r="B49" s="132" t="s">
        <v>201</v>
      </c>
      <c r="C49" s="132" t="s">
        <v>202</v>
      </c>
      <c r="D49" s="132" t="s">
        <v>203</v>
      </c>
      <c r="E49" s="490"/>
      <c r="F49" s="490"/>
      <c r="G49" s="490"/>
      <c r="H49" s="490"/>
      <c r="I49" s="167" t="str">
        <f>S48&amp;".1"</f>
        <v>....1</v>
      </c>
      <c r="J49" s="132"/>
      <c r="K49" s="132"/>
      <c r="L49" s="213" t="s">
        <v>393</v>
      </c>
      <c r="M49" s="586"/>
      <c r="N49" s="586"/>
      <c r="O49" s="586"/>
      <c r="P49" s="131">
        <v>1</v>
      </c>
      <c r="Q49" s="131"/>
      <c r="R49" s="497"/>
      <c r="S49" s="351"/>
      <c r="T49" s="576"/>
      <c r="U49" s="577"/>
      <c r="V49" s="579"/>
      <c r="W49" s="579"/>
      <c r="X49" s="579"/>
      <c r="Y49" s="579"/>
      <c r="Z49" s="579"/>
      <c r="AA49" s="580"/>
      <c r="AB49" s="578"/>
      <c r="AC49" s="579"/>
      <c r="AD49" s="579"/>
      <c r="AE49" s="579"/>
      <c r="AF49" s="579"/>
      <c r="AG49" s="579"/>
      <c r="AH49" s="579"/>
      <c r="AI49" s="579"/>
      <c r="AJ49" s="579"/>
      <c r="AK49" s="579"/>
      <c r="AL49" s="579"/>
      <c r="AM49" s="579"/>
      <c r="AN49" s="579"/>
      <c r="AO49" s="579"/>
      <c r="AP49" s="579"/>
      <c r="AQ49" s="579"/>
      <c r="AR49" s="579"/>
      <c r="AS49" s="579"/>
      <c r="AT49" s="580"/>
      <c r="AU49" s="581"/>
      <c r="AW49" s="128"/>
      <c r="AX49" s="128" t="str">
        <f t="shared" si="19"/>
        <v/>
      </c>
      <c r="AY49" s="128"/>
      <c r="AZ49" s="128"/>
    </row>
    <row r="50" s="57" customFormat="1" ht="0" customHeight="1">
      <c r="A50" s="132" t="s">
        <v>200</v>
      </c>
      <c r="B50" s="132" t="s">
        <v>201</v>
      </c>
      <c r="C50" s="132" t="s">
        <v>202</v>
      </c>
      <c r="D50" s="132" t="s">
        <v>203</v>
      </c>
      <c r="E50" s="490"/>
      <c r="F50" s="490"/>
      <c r="G50" s="490"/>
      <c r="H50" s="490"/>
      <c r="I50" s="501"/>
      <c r="J50" s="167" t="str">
        <f>S48&amp;".1"</f>
        <v>....1</v>
      </c>
      <c r="K50" s="132"/>
      <c r="L50" s="213"/>
      <c r="M50" s="586"/>
      <c r="N50" s="586"/>
      <c r="O50" s="586"/>
      <c r="P50" s="131"/>
      <c r="Q50" s="131">
        <v>1</v>
      </c>
      <c r="R50" s="502"/>
      <c r="S50" s="351"/>
      <c r="T50" s="611"/>
      <c r="U50" s="577"/>
      <c r="V50" s="579"/>
      <c r="W50" s="579"/>
      <c r="X50" s="579"/>
      <c r="Y50" s="579"/>
      <c r="Z50" s="579"/>
      <c r="AA50" s="580"/>
      <c r="AB50" s="578"/>
      <c r="AC50" s="579"/>
      <c r="AD50" s="579"/>
      <c r="AE50" s="579"/>
      <c r="AF50" s="579"/>
      <c r="AG50" s="579"/>
      <c r="AH50" s="579"/>
      <c r="AI50" s="579"/>
      <c r="AJ50" s="579"/>
      <c r="AK50" s="579"/>
      <c r="AL50" s="579"/>
      <c r="AM50" s="579"/>
      <c r="AN50" s="579"/>
      <c r="AO50" s="579"/>
      <c r="AP50" s="579"/>
      <c r="AQ50" s="579"/>
      <c r="AR50" s="579"/>
      <c r="AS50" s="579"/>
      <c r="AT50" s="580"/>
      <c r="AU50" s="581"/>
      <c r="AW50" s="128"/>
      <c r="AX50" s="128" t="str">
        <f t="shared" si="19"/>
        <v/>
      </c>
      <c r="AY50" s="128"/>
      <c r="AZ50" s="128"/>
    </row>
    <row r="51" ht="21" customHeight="1">
      <c r="A51" s="478" t="s">
        <v>200</v>
      </c>
      <c r="B51" s="478" t="s">
        <v>201</v>
      </c>
      <c r="C51" s="478" t="s">
        <v>202</v>
      </c>
      <c r="D51" s="478" t="s">
        <v>203</v>
      </c>
      <c r="E51" s="490"/>
      <c r="F51" s="490"/>
      <c r="G51" s="490"/>
      <c r="H51" s="490"/>
      <c r="I51" s="501"/>
      <c r="J51" s="501"/>
      <c r="K51" s="167" t="str">
        <f>S48&amp;".1"</f>
        <v>....1</v>
      </c>
      <c r="L51" s="480"/>
      <c r="P51" s="131"/>
      <c r="Q51" s="131"/>
      <c r="R51" s="502">
        <v>1</v>
      </c>
      <c r="S51" s="613" t="str">
        <f>$K51</f>
        <v>....1</v>
      </c>
      <c r="T51" s="614"/>
      <c r="U51" s="485"/>
      <c r="V51" s="505"/>
      <c r="W51" s="507"/>
      <c r="X51" s="508"/>
      <c r="Y51" s="225" t="s">
        <v>56</v>
      </c>
      <c r="Z51" s="508"/>
      <c r="AA51" s="225" t="s">
        <v>56</v>
      </c>
      <c r="AB51" s="225" t="s">
        <v>54</v>
      </c>
      <c r="AC51" s="615"/>
      <c r="AD51" s="345">
        <v>1</v>
      </c>
      <c r="AE51" s="99" t="s">
        <v>18</v>
      </c>
      <c r="AF51" s="225" t="s">
        <v>54</v>
      </c>
      <c r="AG51" s="615"/>
      <c r="AH51" s="345">
        <v>1</v>
      </c>
      <c r="AI51" s="99" t="s">
        <v>18</v>
      </c>
      <c r="AJ51" s="225" t="s">
        <v>54</v>
      </c>
      <c r="AK51" s="616"/>
      <c r="AL51" s="345">
        <v>1</v>
      </c>
      <c r="AM51" s="655"/>
      <c r="AN51" s="505"/>
      <c r="AO51" s="507"/>
      <c r="AP51" s="508"/>
      <c r="AQ51" s="225" t="s">
        <v>56</v>
      </c>
      <c r="AR51" s="508"/>
      <c r="AS51" s="225" t="s">
        <v>56</v>
      </c>
      <c r="AT51" s="569"/>
      <c r="AU51" s="509" t="s">
        <v>470</v>
      </c>
      <c r="AV51" s="57" t="e">
        <f>STRCHECKDATE(V54:AT54)</f>
        <v>#NAME?</v>
      </c>
      <c r="AW51" s="128"/>
      <c r="AX51" s="128" t="str">
        <f t="shared" si="19"/>
        <v/>
      </c>
      <c r="AY51" s="128"/>
      <c r="AZ51" s="128"/>
    </row>
    <row r="52" ht="11.25" customHeight="1">
      <c r="A52" s="478" t="s">
        <v>200</v>
      </c>
      <c r="B52" s="478"/>
      <c r="C52" s="478"/>
      <c r="D52" s="478"/>
      <c r="E52" s="490"/>
      <c r="F52" s="490"/>
      <c r="G52" s="490"/>
      <c r="H52" s="490"/>
      <c r="I52" s="501"/>
      <c r="J52" s="501"/>
      <c r="K52" s="167"/>
      <c r="L52" s="480"/>
      <c r="P52" s="131"/>
      <c r="Q52" s="131"/>
      <c r="R52" s="502"/>
      <c r="S52" s="617"/>
      <c r="T52" s="618"/>
      <c r="U52" s="485"/>
      <c r="V52" s="598"/>
      <c r="W52" s="621"/>
      <c r="X52" s="598"/>
      <c r="Y52" s="598"/>
      <c r="Z52" s="598"/>
      <c r="AA52" s="598"/>
      <c r="AB52" s="225"/>
      <c r="AC52" s="615"/>
      <c r="AD52" s="345"/>
      <c r="AE52" s="99"/>
      <c r="AF52" s="225"/>
      <c r="AG52" s="615"/>
      <c r="AH52" s="345"/>
      <c r="AI52" s="99"/>
      <c r="AJ52" s="225"/>
      <c r="AK52" s="620"/>
      <c r="AL52" s="179"/>
      <c r="AM52" s="174" t="s">
        <v>454</v>
      </c>
      <c r="AN52" s="598"/>
      <c r="AO52" s="621"/>
      <c r="AP52" s="598"/>
      <c r="AQ52" s="598"/>
      <c r="AR52" s="598"/>
      <c r="AS52" s="598"/>
      <c r="AT52" s="622"/>
      <c r="AU52" s="512"/>
      <c r="AW52" s="128"/>
      <c r="AX52" s="128"/>
      <c r="AY52" s="128"/>
      <c r="AZ52" s="128"/>
    </row>
    <row r="53" ht="11.25" customHeight="1">
      <c r="A53" s="478" t="s">
        <v>200</v>
      </c>
      <c r="B53" s="478"/>
      <c r="C53" s="478"/>
      <c r="D53" s="478"/>
      <c r="E53" s="490"/>
      <c r="F53" s="490"/>
      <c r="G53" s="490"/>
      <c r="H53" s="490"/>
      <c r="I53" s="501"/>
      <c r="J53" s="501"/>
      <c r="K53" s="167"/>
      <c r="L53" s="480"/>
      <c r="P53" s="131"/>
      <c r="Q53" s="131"/>
      <c r="R53" s="502"/>
      <c r="S53" s="617"/>
      <c r="T53" s="618"/>
      <c r="U53" s="485"/>
      <c r="V53" s="598"/>
      <c r="W53" s="621"/>
      <c r="X53" s="598"/>
      <c r="Y53" s="598"/>
      <c r="Z53" s="598"/>
      <c r="AA53" s="598"/>
      <c r="AB53" s="225"/>
      <c r="AC53" s="615"/>
      <c r="AD53" s="345"/>
      <c r="AE53" s="99"/>
      <c r="AF53" s="225"/>
      <c r="AG53" s="623"/>
      <c r="AH53" s="174"/>
      <c r="AI53" s="174" t="s">
        <v>455</v>
      </c>
      <c r="AJ53" s="598"/>
      <c r="AK53" s="598"/>
      <c r="AL53" s="598"/>
      <c r="AM53" s="598"/>
      <c r="AN53" s="598"/>
      <c r="AO53" s="621"/>
      <c r="AP53" s="598"/>
      <c r="AQ53" s="598"/>
      <c r="AR53" s="598"/>
      <c r="AS53" s="598"/>
      <c r="AT53" s="622"/>
      <c r="AU53" s="512"/>
      <c r="AW53" s="128"/>
      <c r="AX53" s="128"/>
      <c r="AY53" s="128"/>
      <c r="AZ53" s="128"/>
    </row>
    <row r="54" ht="11.25" customHeight="1">
      <c r="A54" s="478" t="s">
        <v>200</v>
      </c>
      <c r="B54" s="478" t="s">
        <v>201</v>
      </c>
      <c r="C54" s="478" t="s">
        <v>202</v>
      </c>
      <c r="D54" s="478" t="s">
        <v>203</v>
      </c>
      <c r="E54" s="490"/>
      <c r="F54" s="490"/>
      <c r="G54" s="490"/>
      <c r="H54" s="490"/>
      <c r="I54" s="501"/>
      <c r="J54" s="501"/>
      <c r="K54" s="167"/>
      <c r="L54" s="480"/>
      <c r="P54" s="131"/>
      <c r="Q54" s="131"/>
      <c r="R54" s="502"/>
      <c r="S54" s="624"/>
      <c r="T54" s="625"/>
      <c r="U54" s="485"/>
      <c r="V54" s="598"/>
      <c r="W54" s="599" t="str">
        <f>X51&amp;"-"&amp;Z51</f>
        <v>-</v>
      </c>
      <c r="X54" s="598"/>
      <c r="Y54" s="598"/>
      <c r="Z54" s="598"/>
      <c r="AA54" s="598"/>
      <c r="AB54" s="225"/>
      <c r="AC54" s="627"/>
      <c r="AD54" s="628"/>
      <c r="AE54" s="174" t="s">
        <v>456</v>
      </c>
      <c r="AF54" s="598"/>
      <c r="AG54" s="598"/>
      <c r="AH54" s="598"/>
      <c r="AI54" s="598"/>
      <c r="AJ54" s="598"/>
      <c r="AK54" s="598"/>
      <c r="AL54" s="598"/>
      <c r="AM54" s="598"/>
      <c r="AN54" s="598"/>
      <c r="AO54" s="599" t="str">
        <f>AP51&amp;"-"&amp;AR51</f>
        <v>-</v>
      </c>
      <c r="AP54" s="598"/>
      <c r="AQ54" s="598"/>
      <c r="AR54" s="598"/>
      <c r="AS54" s="598"/>
      <c r="AT54" s="571"/>
      <c r="AU54" s="512"/>
      <c r="AW54" s="128"/>
      <c r="AX54" s="128" t="str">
        <f t="shared" si="19"/>
        <v/>
      </c>
      <c r="AY54" s="128"/>
      <c r="AZ54" s="128"/>
    </row>
    <row r="55" ht="11.25" customHeight="1">
      <c r="A55" s="478" t="s">
        <v>200</v>
      </c>
      <c r="B55" s="478" t="s">
        <v>201</v>
      </c>
      <c r="C55" s="478" t="s">
        <v>202</v>
      </c>
      <c r="D55" s="478" t="s">
        <v>203</v>
      </c>
      <c r="E55" s="490"/>
      <c r="F55" s="490"/>
      <c r="G55" s="490"/>
      <c r="H55" s="490"/>
      <c r="I55" s="501"/>
      <c r="J55" s="167"/>
      <c r="K55" s="478"/>
      <c r="L55" s="480"/>
      <c r="P55" s="131"/>
      <c r="Q55" s="131"/>
      <c r="R55" s="497"/>
      <c r="S55" s="513"/>
      <c r="T55" s="517" t="s">
        <v>457</v>
      </c>
      <c r="U55" s="215"/>
      <c r="V55" s="215"/>
      <c r="W55" s="215"/>
      <c r="X55" s="215"/>
      <c r="Y55" s="215"/>
      <c r="Z55" s="215"/>
      <c r="AA55" s="515"/>
      <c r="AB55" s="656"/>
      <c r="AC55" s="215"/>
      <c r="AD55" s="215"/>
      <c r="AE55" s="215"/>
      <c r="AF55" s="215"/>
      <c r="AG55" s="215"/>
      <c r="AH55" s="215"/>
      <c r="AI55" s="215"/>
      <c r="AJ55" s="215"/>
      <c r="AK55" s="215"/>
      <c r="AL55" s="215"/>
      <c r="AM55" s="215"/>
      <c r="AN55" s="215"/>
      <c r="AO55" s="215"/>
      <c r="AP55" s="215"/>
      <c r="AQ55" s="215"/>
      <c r="AR55" s="215"/>
      <c r="AS55" s="215"/>
      <c r="AT55" s="515"/>
      <c r="AU55" s="516"/>
      <c r="AW55" s="128"/>
      <c r="AX55" s="128" t="str">
        <f t="shared" si="19"/>
        <v xml:space="preserve">Добавить строку</v>
      </c>
      <c r="AY55" s="128"/>
      <c r="AZ55" s="128"/>
    </row>
    <row r="56" s="57" customFormat="1" ht="0" customHeight="1">
      <c r="A56" s="132" t="s">
        <v>200</v>
      </c>
      <c r="B56" s="132" t="s">
        <v>201</v>
      </c>
      <c r="C56" s="132" t="s">
        <v>202</v>
      </c>
      <c r="D56" s="132" t="s">
        <v>203</v>
      </c>
      <c r="E56" s="490"/>
      <c r="F56" s="490"/>
      <c r="G56" s="490"/>
      <c r="H56" s="490"/>
      <c r="I56" s="167"/>
      <c r="J56" s="132"/>
      <c r="K56" s="132"/>
      <c r="L56" s="213"/>
      <c r="M56" s="586"/>
      <c r="N56" s="586"/>
      <c r="O56" s="586"/>
      <c r="P56" s="131"/>
      <c r="Q56" s="131"/>
      <c r="R56" s="497"/>
      <c r="S56" s="582"/>
      <c r="T56" s="583" t="s">
        <v>402</v>
      </c>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5"/>
      <c r="AW56" s="128"/>
      <c r="AX56" s="128" t="str">
        <f t="shared" si="19"/>
        <v xml:space="preserve">Добавить группу потребителей</v>
      </c>
      <c r="AY56" s="128"/>
      <c r="AZ56" s="128"/>
    </row>
    <row r="57" s="130" customFormat="1" ht="0" customHeight="1">
      <c r="A57" s="132" t="s">
        <v>200</v>
      </c>
      <c r="B57" s="132" t="s">
        <v>201</v>
      </c>
      <c r="C57" s="132" t="s">
        <v>202</v>
      </c>
      <c r="D57" s="132" t="s">
        <v>203</v>
      </c>
      <c r="E57" s="490"/>
      <c r="F57" s="490"/>
      <c r="G57" s="490"/>
      <c r="H57" s="479"/>
      <c r="I57" s="132"/>
      <c r="J57" s="132"/>
      <c r="K57" s="132"/>
      <c r="L57" s="213"/>
      <c r="M57" s="463"/>
      <c r="N57" s="463"/>
      <c r="O57" s="57"/>
      <c r="P57" s="166"/>
      <c r="Q57" s="522"/>
      <c r="R57" s="657"/>
      <c r="S57" s="582"/>
      <c r="T57" s="583"/>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5"/>
      <c r="AV57" s="57"/>
      <c r="AW57" s="128"/>
      <c r="AX57" s="128" t="str">
        <f t="shared" si="19"/>
        <v/>
      </c>
      <c r="AY57" s="128"/>
      <c r="AZ57" s="128"/>
    </row>
    <row r="58" s="57" customFormat="1" ht="0" customHeight="1">
      <c r="A58" s="132" t="s">
        <v>200</v>
      </c>
      <c r="B58" s="132" t="s">
        <v>201</v>
      </c>
      <c r="C58" s="132" t="s">
        <v>202</v>
      </c>
      <c r="D58" s="132"/>
      <c r="E58" s="490"/>
      <c r="F58" s="490"/>
      <c r="G58" s="479"/>
      <c r="H58" s="132"/>
      <c r="I58" s="132"/>
      <c r="J58" s="132"/>
      <c r="K58" s="132"/>
      <c r="L58" s="213"/>
      <c r="M58" s="463"/>
      <c r="N58" s="463"/>
      <c r="P58" s="166"/>
      <c r="Q58" s="522"/>
      <c r="R58" s="166"/>
      <c r="S58" s="527"/>
      <c r="T58" s="530" t="s">
        <v>404</v>
      </c>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W58" s="128"/>
      <c r="AX58" s="128" t="str">
        <f t="shared" si="19"/>
        <v xml:space="preserve">Добавить источник для дифференциации</v>
      </c>
      <c r="AY58" s="128"/>
      <c r="AZ58" s="128"/>
    </row>
    <row r="59" s="57" customFormat="1" ht="0" customHeight="1">
      <c r="A59" s="132" t="s">
        <v>200</v>
      </c>
      <c r="B59" s="132" t="s">
        <v>201</v>
      </c>
      <c r="C59" s="132"/>
      <c r="D59" s="132"/>
      <c r="E59" s="490"/>
      <c r="F59" s="479"/>
      <c r="G59" s="132"/>
      <c r="H59" s="132"/>
      <c r="I59" s="132"/>
      <c r="J59" s="132"/>
      <c r="K59" s="132"/>
      <c r="L59" s="213"/>
      <c r="M59" s="526"/>
      <c r="N59" s="526"/>
      <c r="P59" s="166"/>
      <c r="Q59" s="522"/>
      <c r="R59" s="166"/>
      <c r="S59" s="527"/>
      <c r="T59" s="530" t="s">
        <v>405</v>
      </c>
      <c r="U59" s="529"/>
      <c r="V59" s="529"/>
      <c r="W59" s="529"/>
      <c r="X59" s="529"/>
      <c r="Y59" s="529"/>
      <c r="Z59" s="529"/>
      <c r="AA59" s="529"/>
      <c r="AB59" s="529"/>
      <c r="AC59" s="529"/>
      <c r="AD59" s="529"/>
      <c r="AE59" s="529"/>
      <c r="AF59" s="529"/>
      <c r="AG59" s="529"/>
      <c r="AH59" s="529"/>
      <c r="AI59" s="529"/>
      <c r="AJ59" s="529"/>
      <c r="AK59" s="529"/>
      <c r="AL59" s="529"/>
      <c r="AM59" s="529"/>
      <c r="AN59" s="529"/>
      <c r="AO59" s="529"/>
      <c r="AP59" s="529"/>
      <c r="AQ59" s="529"/>
      <c r="AR59" s="529"/>
      <c r="AS59" s="529"/>
      <c r="AT59" s="529"/>
      <c r="AU59" s="529"/>
      <c r="AW59" s="128"/>
      <c r="AX59" s="128" t="str">
        <f t="shared" si="19"/>
        <v xml:space="preserve">Добавить централизованную систему для дифференциации</v>
      </c>
      <c r="AY59" s="128"/>
      <c r="AZ59" s="128"/>
    </row>
    <row r="60" s="57" customFormat="1" ht="0" customHeight="1">
      <c r="A60" s="132" t="s">
        <v>200</v>
      </c>
      <c r="B60" s="132"/>
      <c r="C60" s="132"/>
      <c r="D60" s="132"/>
      <c r="E60" s="490"/>
      <c r="F60" s="132"/>
      <c r="G60" s="132"/>
      <c r="H60" s="132"/>
      <c r="I60" s="132"/>
      <c r="J60" s="132"/>
      <c r="K60" s="132"/>
      <c r="L60" s="213"/>
      <c r="M60" s="526"/>
      <c r="N60" s="526"/>
      <c r="O60" s="57"/>
      <c r="P60" s="166"/>
      <c r="Q60" s="522"/>
      <c r="R60" s="166"/>
      <c r="S60" s="527"/>
      <c r="T60" s="530" t="s">
        <v>406</v>
      </c>
      <c r="U60" s="529"/>
      <c r="V60" s="529"/>
      <c r="W60" s="529"/>
      <c r="X60" s="529"/>
      <c r="Y60" s="529"/>
      <c r="Z60" s="529"/>
      <c r="AA60" s="529"/>
      <c r="AB60" s="529"/>
      <c r="AC60" s="529"/>
      <c r="AD60" s="529"/>
      <c r="AE60" s="529"/>
      <c r="AF60" s="529"/>
      <c r="AG60" s="529"/>
      <c r="AH60" s="529"/>
      <c r="AI60" s="529"/>
      <c r="AJ60" s="529"/>
      <c r="AK60" s="529"/>
      <c r="AL60" s="529"/>
      <c r="AM60" s="529"/>
      <c r="AN60" s="529"/>
      <c r="AO60" s="529"/>
      <c r="AP60" s="529"/>
      <c r="AQ60" s="529"/>
      <c r="AR60" s="529"/>
      <c r="AS60" s="529"/>
      <c r="AT60" s="529"/>
      <c r="AU60" s="529"/>
      <c r="AW60" s="128"/>
      <c r="AX60" s="128" t="str">
        <f t="shared" si="19"/>
        <v xml:space="preserve">Добавить территорию для дифференциации</v>
      </c>
      <c r="AY60" s="128"/>
      <c r="AZ60" s="128"/>
    </row>
    <row r="61" s="57" customFormat="1" ht="0" customHeight="1">
      <c r="A61" s="132" t="s">
        <v>200</v>
      </c>
      <c r="B61" s="132"/>
      <c r="C61" s="132"/>
      <c r="D61" s="132"/>
      <c r="E61" s="479"/>
      <c r="F61" s="132"/>
      <c r="G61" s="132"/>
      <c r="H61" s="132"/>
      <c r="I61" s="132"/>
      <c r="J61" s="132"/>
      <c r="K61" s="132"/>
      <c r="L61" s="213"/>
      <c r="M61" s="526"/>
      <c r="N61" s="526"/>
      <c r="O61" s="57"/>
      <c r="P61" s="166"/>
      <c r="Q61" s="522"/>
      <c r="R61" s="166"/>
      <c r="S61" s="527"/>
      <c r="T61" s="530" t="s">
        <v>406</v>
      </c>
      <c r="U61" s="529"/>
      <c r="V61" s="529"/>
      <c r="W61" s="529"/>
      <c r="X61" s="529"/>
      <c r="Y61" s="529"/>
      <c r="Z61" s="529"/>
      <c r="AA61" s="529"/>
      <c r="AB61" s="529"/>
      <c r="AC61" s="529"/>
      <c r="AD61" s="529"/>
      <c r="AE61" s="529"/>
      <c r="AF61" s="529"/>
      <c r="AG61" s="529"/>
      <c r="AH61" s="529"/>
      <c r="AI61" s="529"/>
      <c r="AJ61" s="529"/>
      <c r="AK61" s="529"/>
      <c r="AL61" s="529"/>
      <c r="AM61" s="529"/>
      <c r="AN61" s="529"/>
      <c r="AO61" s="529"/>
      <c r="AP61" s="529"/>
      <c r="AQ61" s="529"/>
      <c r="AR61" s="529"/>
      <c r="AS61" s="529"/>
      <c r="AT61" s="529"/>
      <c r="AU61" s="529"/>
      <c r="AW61" s="128"/>
      <c r="AX61" s="128" t="str">
        <f t="shared" si="19"/>
        <v xml:space="preserve">Добавить территорию для дифференциации</v>
      </c>
      <c r="AY61" s="128"/>
      <c r="AZ61" s="128"/>
    </row>
    <row r="62" s="57" customFormat="1" ht="0" customHeight="1">
      <c r="A62" s="132"/>
      <c r="B62" s="132"/>
      <c r="C62" s="132"/>
      <c r="D62" s="132"/>
      <c r="E62" s="132"/>
      <c r="F62" s="132"/>
      <c r="G62" s="132"/>
      <c r="H62" s="132"/>
      <c r="I62" s="132"/>
      <c r="J62" s="132"/>
      <c r="K62" s="132"/>
      <c r="L62" s="213"/>
      <c r="M62" s="526"/>
      <c r="N62" s="526"/>
      <c r="P62" s="166"/>
      <c r="Q62" s="522"/>
      <c r="R62" s="166"/>
      <c r="S62" s="527"/>
      <c r="T62" s="530" t="s">
        <v>438</v>
      </c>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W62" s="128"/>
      <c r="AX62" s="128" t="str">
        <f t="shared" si="19"/>
        <v xml:space="preserve">Добавить наименование тарифа</v>
      </c>
      <c r="AY62" s="128"/>
      <c r="AZ62" s="128"/>
    </row>
    <row r="63" ht="11.25" customHeight="1">
      <c r="M63" s="53"/>
      <c r="N63" s="53"/>
      <c r="O63" s="53"/>
      <c r="P63" s="53"/>
      <c r="Q63" s="53"/>
      <c r="R63" s="50"/>
      <c r="S63" s="50"/>
      <c r="AV63" s="50"/>
      <c r="AW63" s="50"/>
      <c r="AX63" s="50"/>
      <c r="AY63" s="50"/>
      <c r="AZ63" s="50"/>
    </row>
    <row r="64" ht="18.75" customHeight="1">
      <c r="O64" s="53"/>
      <c r="S64" s="475"/>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row>
    <row r="65" ht="19.5" customHeight="1">
      <c r="O65" s="53"/>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row>
    <row r="66" ht="14.25" customHeight="1">
      <c r="O66" s="53"/>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row>
    <row r="67" ht="18.75" customHeight="1">
      <c r="O67" s="53"/>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row>
    <row r="68" ht="15.75" customHeight="1">
      <c r="O68" s="53"/>
      <c r="T68" s="572"/>
      <c r="U68" s="572"/>
      <c r="V68" s="572"/>
      <c r="W68" s="572"/>
      <c r="X68" s="572"/>
      <c r="Y68" s="572"/>
      <c r="Z68" s="572"/>
      <c r="AA68" s="572"/>
      <c r="AB68" s="572"/>
      <c r="AC68" s="572"/>
      <c r="AD68" s="572"/>
      <c r="AE68" s="572"/>
      <c r="AF68" s="572"/>
      <c r="AG68" s="572"/>
      <c r="AH68" s="572"/>
      <c r="AI68" s="572"/>
      <c r="AJ68" s="572"/>
      <c r="AK68" s="572"/>
      <c r="AL68" s="572"/>
      <c r="AM68" s="572"/>
      <c r="AN68" s="572"/>
      <c r="AO68" s="572"/>
      <c r="AP68" s="572"/>
      <c r="AQ68" s="572"/>
      <c r="AR68" s="572"/>
      <c r="AS68" s="572"/>
      <c r="AT68" s="572"/>
      <c r="AU68" s="572"/>
    </row>
    <row r="69" ht="14.25" customHeight="1">
      <c r="O69" s="53"/>
    </row>
  </sheetData>
  <sheetProtection autoFilter="0" deleteColumns="0" deleteRows="0" formatCells="1" formatColumns="0" formatRows="0" insertColumns="1" insertHyperlinks="1" insertRows="0" pivotTables="1" selectLockedCells="0" selectUnlockedCells="0" sheet="0" sort="0"/>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4" disablePrompts="0">
    <dataValidation sqref="S131128:AU131134 S196664:AU196670 S262200:AU262206 S327736:AU327742 S393272:AU393278 S458808:AU458814 S524344:AU524350 S589880:AU589886 S655416:AU655422 S720952:AU720958 S786488:AU786494 S852024:AU852030 S917560:AU917566 S983096:AU983102 S65592:AU65598" type="none" allowBlank="1" errorStyle="stop" imeMode="noControl" operator="between" showDropDown="0" showErrorMessage="0" showInputMessage="0"/>
    <dataValidation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65591 W131127 W196663 W262199 W327735 W393271 W458807 W524343 W589879 W655415 W720951 W786487 W852023 W917559 W983095 AO54 W11 AO65591 AO131127 AO196663 AO262199 AO327735 AO393271 AO458807 AO524343 AO589879 AO655415 AO720951 AO786487 AO852023 AO917559 AO983095 AO11 W54" type="none" allowBlank="1" errorStyle="stop" imeMode="noControl" operator="between" promptTitle="checkPeriodRange" showDropDown="0" showErrorMessage="0" showInputMessage="0"/>
    <dataValidation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1500D5-00B2-47D9-B328-005C00160064}"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AN42:AO42</xm:sqref>
        </x14:dataValidation>
        <x14:dataValidation xr:uid="{00570059-0028-4552-AAF6-007E00F7004B}"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V917557:AT917557 V983093:AT983093 V65589:AT65589 V131125:AT131125 V196661:AT196661 V262197:AT262197 V327733:AT327733 V393269:AT393269 V458805:AT458805 V524341:AT524341 V589877:AT589877 V655413:AT655413 V720949:AT720949 V786485:AT786485 V852021:AT852021</xm:sqref>
        </x14:dataValidation>
        <x14:dataValidation xr:uid="{00290035-0037-423D-B2F5-000200580098}" type="list" allowBlank="1" error="Выберите значение из списка" errorStyle="stop" errorTitle="Ошибка" imeMode="noControl" operator="between" showDropDown="0" showErrorMessage="1" showInputMessage="1">
          <x14:formula1>
            <xm:f>kind_of_heat_transfer</xm:f>
          </x14:formula1>
          <xm:sqref>T65590 T131126 T196662 T262198 T327734 T393270 T458806 T524342 T589878 T655414 T720950 T786486 T852022 T917558 T983094</xm:sqref>
        </x14:dataValidation>
        <x14:dataValidation xr:uid="{00730099-00A5-4085-8CA9-008F002D007A}" type="list" allowBlank="1" error="Выберите значение из списка" errorStyle="stop" errorTitle="Ошибка" imeMode="noControl" operator="between" showDropDown="0" showErrorMessage="1" showInputMessage="1">
          <x14:formula1>
            <xm:f>kind_of_scheme_in</xm:f>
          </x14:formula1>
          <xm:sqref>AB983092:AM983092 AB65588:AM65588 AB131124:AM131124 AB196660:AM196660 AB262196:AM262196 AB327732:AM327732 AB393268:AM393268 AB458804:AM458804 AB524340:AM524340 AB589876:AM589876 AB655412:AM655412 AB720948:AM720948 AB786484:AM786484 AB852020:AM852020 AB917556:AM917556</xm:sqref>
        </x14:dataValidation>
        <x14:dataValidation xr:uid="{00C4002C-00BA-4BE7-B103-000200AC00B5}" type="textLength" allowBlank="1" error="Допускается ввод не более 900 символов!" errorStyle="stop" errorTitle="Ошибка" imeMode="noControl" operator="lessThanOrEqual" showDropDown="0" showErrorMessage="1" showInputMessage="1">
          <x14:formula1>
            <xm:f>900</xm:f>
          </x14:formula1>
          <xm:sqref>AU65584:AU65591 AU131120:AU131127 AU196656:AU196663 AU262192:AU262199 AU327728:AU327735 AU393264:AU393271 AU458800:AU458807 AU524336:AU524343 AU589872:AU589879 AU655408:AU655415 AU720944:AU720951 AU786480:AU786487 AU852016:AU852023 AU917552:AU917559 AU983088:AU983095 T8:T11 T51:T54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7109375"/>
    <col customWidth="1" min="17" max="18" style="477" width="3.7109375"/>
    <col customWidth="1" min="19" max="19" style="322" width="12.7109375"/>
    <col customWidth="1" min="20" max="20" style="50" width="35.710937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31" style="50" width="24.7109375"/>
    <col customWidth="1" min="32" max="32" style="50" width="11.7109375"/>
    <col customWidth="1" min="33" max="33" style="50" width="3.7109375"/>
    <col customWidth="1" min="34" max="34" style="50" width="11.7109375"/>
    <col customWidth="1" hidden="1" min="35" max="35" style="50" width="8.57421875"/>
    <col customWidth="1" min="36" max="36" style="50" width="4.7109375"/>
    <col customWidth="1" min="37" max="37" style="50" width="115.7109375"/>
    <col min="38" max="39" style="57" width="10.57421875"/>
    <col customWidth="1" min="40" max="40" style="57" width="11.140625"/>
    <col min="41" max="42" style="57" width="10.57421875"/>
  </cols>
  <sheetData>
    <row r="1" ht="14.25" hidden="1" customHeight="1">
      <c r="X1" s="50"/>
      <c r="Y1" s="50"/>
      <c r="AE1" s="50"/>
      <c r="AF1" s="50"/>
    </row>
    <row r="2" ht="23.25"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8"/>
      <c r="AC2" s="486" t="e">
        <f>INDEX(PT_DIFFERENTIATION_NTAR,MATCH(A2,PT_DIFFERENTIATION_NTAR_ID,0))</f>
        <v>#VALUE!</v>
      </c>
      <c r="AD2" s="487"/>
      <c r="AE2" s="487"/>
      <c r="AF2" s="487"/>
      <c r="AG2" s="487"/>
      <c r="AH2" s="487"/>
      <c r="AI2" s="487"/>
      <c r="AJ2" s="488"/>
      <c r="AK2"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8"/>
      <c r="AN2" s="128" t="str">
        <f t="shared" ref="AN2:AN9" si="20">IF(T2="","",T2)</f>
        <v xml:space="preserve">Наименование тарифа</v>
      </c>
      <c r="AO2" s="128"/>
      <c r="AP2" s="128"/>
    </row>
    <row r="3" ht="23.25"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8"/>
      <c r="AC3" s="486" t="e">
        <f>INDEX(PT_DIFFERENTIATION_TER,MATCH(B3,PT_DIFFERENTIATION_TER_ID,0))</f>
        <v>#VALUE!</v>
      </c>
      <c r="AD3" s="487"/>
      <c r="AE3" s="487"/>
      <c r="AF3" s="487"/>
      <c r="AG3" s="487"/>
      <c r="AH3" s="487"/>
      <c r="AI3" s="487"/>
      <c r="AJ3" s="488"/>
      <c r="AK3" s="489" t="s">
        <v>388</v>
      </c>
      <c r="AM3" s="128"/>
      <c r="AN3" s="128" t="str">
        <f t="shared" si="20"/>
        <v xml:space="preserve">Территория действия тарифа</v>
      </c>
      <c r="AO3" s="128"/>
      <c r="AP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471</v>
      </c>
      <c r="U4" s="485"/>
      <c r="V4" s="486"/>
      <c r="W4" s="487"/>
      <c r="X4" s="487"/>
      <c r="Y4" s="487"/>
      <c r="Z4" s="487"/>
      <c r="AA4" s="487"/>
      <c r="AB4" s="488"/>
      <c r="AC4" s="486" t="e">
        <f>INDEX(PT_DIFFERENTIATION_CS,MATCH(C4,PT_DIFFERENTIATION_CS_ID,0))</f>
        <v>#VALUE!</v>
      </c>
      <c r="AD4" s="487"/>
      <c r="AE4" s="487"/>
      <c r="AF4" s="487"/>
      <c r="AG4" s="487"/>
      <c r="AH4" s="487"/>
      <c r="AI4" s="487"/>
      <c r="AJ4" s="488"/>
      <c r="AK4" s="489" t="s">
        <v>472</v>
      </c>
      <c r="AM4" s="128"/>
      <c r="AN4" s="128" t="str">
        <f t="shared" si="20"/>
        <v xml:space="preserve">Наименование централизованной системы холодного водоснабжения</v>
      </c>
      <c r="AO4" s="128"/>
      <c r="AP4" s="128"/>
    </row>
    <row r="5" ht="23.25" hidden="1" customHeight="1">
      <c r="A5" s="478"/>
      <c r="B5" s="478"/>
      <c r="C5" s="478"/>
      <c r="D5" s="478"/>
      <c r="E5" s="490"/>
      <c r="F5" s="490"/>
      <c r="G5" s="490"/>
      <c r="H5" s="490"/>
      <c r="I5" s="167" t="e">
        <f>S4&amp;".1"</f>
        <v>#VALUE!</v>
      </c>
      <c r="J5" s="478"/>
      <c r="K5" s="478"/>
      <c r="L5" s="480"/>
      <c r="P5" s="131">
        <v>1</v>
      </c>
      <c r="Q5" s="131"/>
      <c r="R5" s="497"/>
      <c r="S5" s="483" t="e">
        <f>$I5</f>
        <v>#VALUE!</v>
      </c>
      <c r="T5" s="498" t="s">
        <v>473</v>
      </c>
      <c r="U5" s="485"/>
      <c r="V5" s="658"/>
      <c r="W5" s="659"/>
      <c r="X5" s="659"/>
      <c r="Y5" s="659"/>
      <c r="Z5" s="659"/>
      <c r="AA5" s="659"/>
      <c r="AB5" s="660"/>
      <c r="AC5" s="661"/>
      <c r="AD5" s="662"/>
      <c r="AE5" s="662"/>
      <c r="AF5" s="662"/>
      <c r="AG5" s="662"/>
      <c r="AH5" s="662"/>
      <c r="AI5" s="662"/>
      <c r="AJ5" s="663"/>
      <c r="AK5" s="489" t="s">
        <v>474</v>
      </c>
      <c r="AM5" s="128"/>
      <c r="AN5" s="128" t="str">
        <f t="shared" si="20"/>
        <v xml:space="preserve">Наименование признака дифференциации</v>
      </c>
      <c r="AO5" s="128"/>
      <c r="AP5" s="128"/>
    </row>
    <row r="6" ht="23.25" hidden="1" customHeight="1">
      <c r="A6" s="478"/>
      <c r="B6" s="478"/>
      <c r="C6" s="478"/>
      <c r="D6" s="478"/>
      <c r="E6" s="490"/>
      <c r="F6" s="490"/>
      <c r="G6" s="490"/>
      <c r="H6" s="490"/>
      <c r="I6" s="501"/>
      <c r="J6" s="167" t="e">
        <f>I5&amp;".1"</f>
        <v>#VALUE!</v>
      </c>
      <c r="K6" s="478"/>
      <c r="L6" s="480" t="s">
        <v>396</v>
      </c>
      <c r="P6" s="131"/>
      <c r="Q6" s="131">
        <v>1</v>
      </c>
      <c r="R6" s="502"/>
      <c r="S6" s="483" t="e">
        <f>$J6</f>
        <v>#VALUE!</v>
      </c>
      <c r="T6" s="503" t="s">
        <v>397</v>
      </c>
      <c r="U6" s="485"/>
      <c r="V6" s="430"/>
      <c r="W6" s="499"/>
      <c r="X6" s="499"/>
      <c r="Y6" s="499"/>
      <c r="Z6" s="499"/>
      <c r="AA6" s="499"/>
      <c r="AB6" s="500"/>
      <c r="AC6" s="430"/>
      <c r="AD6" s="499"/>
      <c r="AE6" s="499"/>
      <c r="AF6" s="499"/>
      <c r="AG6" s="499"/>
      <c r="AH6" s="499"/>
      <c r="AI6" s="499"/>
      <c r="AJ6" s="500"/>
      <c r="AK6" s="593" t="s">
        <v>475</v>
      </c>
      <c r="AM6" s="128"/>
      <c r="AN6" s="128" t="str">
        <f t="shared" si="20"/>
        <v xml:space="preserve">Группа потребителей</v>
      </c>
      <c r="AO6" s="128"/>
      <c r="AP6" s="128"/>
    </row>
    <row r="7" ht="23.25" hidden="1" customHeight="1">
      <c r="A7" s="478"/>
      <c r="B7" s="478"/>
      <c r="C7" s="478"/>
      <c r="D7" s="478"/>
      <c r="E7" s="490"/>
      <c r="F7" s="490"/>
      <c r="G7" s="490"/>
      <c r="H7" s="490"/>
      <c r="I7" s="501"/>
      <c r="J7" s="501"/>
      <c r="K7" s="167" t="e">
        <f>J6&amp;".1"</f>
        <v>#VALUE!</v>
      </c>
      <c r="L7" s="480"/>
      <c r="P7" s="131"/>
      <c r="Q7" s="131"/>
      <c r="R7" s="502">
        <v>1</v>
      </c>
      <c r="S7" s="483" t="e">
        <f>$K7</f>
        <v>#VALUE!</v>
      </c>
      <c r="T7" s="664"/>
      <c r="U7" s="485"/>
      <c r="V7" s="505"/>
      <c r="W7" s="505"/>
      <c r="X7" s="507"/>
      <c r="Y7" s="508"/>
      <c r="Z7" s="225" t="s">
        <v>56</v>
      </c>
      <c r="AA7" s="508"/>
      <c r="AB7" s="225" t="s">
        <v>56</v>
      </c>
      <c r="AC7" s="505"/>
      <c r="AD7" s="505"/>
      <c r="AE7" s="507"/>
      <c r="AF7" s="508"/>
      <c r="AG7" s="225" t="s">
        <v>56</v>
      </c>
      <c r="AH7" s="568"/>
      <c r="AI7" s="225" t="s">
        <v>56</v>
      </c>
      <c r="AJ7" s="665"/>
      <c r="AK7"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8"/>
      <c r="AN7" s="128" t="str">
        <f t="shared" si="20"/>
        <v/>
      </c>
      <c r="AO7" s="128"/>
      <c r="AP7" s="128"/>
    </row>
    <row r="8" ht="14.25" hidden="1" customHeight="1">
      <c r="A8" s="478"/>
      <c r="B8" s="478"/>
      <c r="C8" s="478"/>
      <c r="D8" s="478"/>
      <c r="E8" s="490"/>
      <c r="F8" s="490"/>
      <c r="G8" s="490"/>
      <c r="H8" s="490"/>
      <c r="I8" s="501"/>
      <c r="J8" s="501"/>
      <c r="K8" s="167"/>
      <c r="L8" s="480"/>
      <c r="P8" s="131"/>
      <c r="Q8" s="131"/>
      <c r="R8" s="502"/>
      <c r="S8" s="457"/>
      <c r="T8" s="485"/>
      <c r="U8" s="485"/>
      <c r="V8" s="506"/>
      <c r="W8" s="506"/>
      <c r="X8" s="510" t="str">
        <f>Y7&amp;"-"&amp;AA7</f>
        <v>-</v>
      </c>
      <c r="Y8" s="511"/>
      <c r="Z8" s="225"/>
      <c r="AA8" s="511"/>
      <c r="AB8" s="225"/>
      <c r="AC8" s="506"/>
      <c r="AD8" s="506"/>
      <c r="AE8" s="510" t="str">
        <f>AF7&amp;"-"&amp;AH7</f>
        <v>-</v>
      </c>
      <c r="AF8" s="511"/>
      <c r="AG8" s="225"/>
      <c r="AH8" s="570"/>
      <c r="AI8" s="225"/>
      <c r="AJ8" s="667"/>
      <c r="AK8" s="666"/>
      <c r="AM8" s="128"/>
      <c r="AN8" s="128" t="str">
        <f t="shared" si="20"/>
        <v/>
      </c>
      <c r="AO8" s="128"/>
      <c r="AP8" s="128"/>
    </row>
    <row r="9" ht="21" hidden="1" customHeight="1">
      <c r="A9" s="478"/>
      <c r="B9" s="478"/>
      <c r="C9" s="478"/>
      <c r="D9" s="478"/>
      <c r="E9" s="490"/>
      <c r="F9" s="490"/>
      <c r="G9" s="490"/>
      <c r="H9" s="490"/>
      <c r="I9" s="501"/>
      <c r="J9" s="167"/>
      <c r="K9" s="478"/>
      <c r="L9" s="480"/>
      <c r="P9" s="131"/>
      <c r="Q9" s="131"/>
      <c r="R9" s="497"/>
      <c r="S9" s="513"/>
      <c r="T9" s="517" t="s">
        <v>476</v>
      </c>
      <c r="U9" s="215"/>
      <c r="V9" s="215"/>
      <c r="W9" s="215"/>
      <c r="X9" s="215"/>
      <c r="Y9" s="215"/>
      <c r="Z9" s="215"/>
      <c r="AA9" s="215"/>
      <c r="AB9" s="215"/>
      <c r="AC9" s="215"/>
      <c r="AD9" s="215"/>
      <c r="AE9" s="215"/>
      <c r="AF9" s="215"/>
      <c r="AG9" s="215"/>
      <c r="AH9" s="215"/>
      <c r="AI9" s="215"/>
      <c r="AJ9" s="215"/>
      <c r="AK9" s="489" t="s">
        <v>477</v>
      </c>
      <c r="AM9" s="128"/>
      <c r="AN9" s="128" t="str">
        <f t="shared" si="20"/>
        <v xml:space="preserve">Добавить значение признака дифференциации</v>
      </c>
      <c r="AO9" s="128"/>
      <c r="AP9" s="128"/>
    </row>
    <row r="10" ht="21" hidden="1" customHeight="1">
      <c r="A10" s="478"/>
      <c r="B10" s="478"/>
      <c r="C10" s="478"/>
      <c r="D10" s="478"/>
      <c r="E10" s="490"/>
      <c r="F10" s="490"/>
      <c r="G10" s="490"/>
      <c r="H10" s="490"/>
      <c r="I10" s="167"/>
      <c r="J10" s="478"/>
      <c r="K10" s="478"/>
      <c r="L10" s="480"/>
      <c r="P10" s="131"/>
      <c r="Q10" s="131"/>
      <c r="R10" s="497"/>
      <c r="S10" s="513"/>
      <c r="T10" s="521" t="s">
        <v>402</v>
      </c>
      <c r="U10" s="215"/>
      <c r="V10" s="215"/>
      <c r="W10" s="215"/>
      <c r="X10" s="215"/>
      <c r="Y10" s="215"/>
      <c r="Z10" s="215"/>
      <c r="AA10" s="215"/>
      <c r="AB10" s="518"/>
      <c r="AC10" s="215"/>
      <c r="AD10" s="215"/>
      <c r="AE10" s="215"/>
      <c r="AF10" s="215"/>
      <c r="AG10" s="215"/>
      <c r="AH10" s="215"/>
      <c r="AI10" s="518"/>
      <c r="AJ10" s="215"/>
      <c r="AK10" s="668"/>
      <c r="AM10" s="128"/>
      <c r="AN10" s="128" t="str">
        <f t="shared" ref="AN10:AN53" si="21">IF(T10="","",T10)</f>
        <v xml:space="preserve">Добавить группу потребителей</v>
      </c>
      <c r="AO10" s="128"/>
      <c r="AP10" s="128"/>
    </row>
    <row r="11" ht="14.25" hidden="1" customHeight="1">
      <c r="A11" s="478"/>
      <c r="B11" s="478"/>
      <c r="C11" s="478"/>
      <c r="D11" s="478"/>
      <c r="E11" s="490"/>
      <c r="F11" s="490"/>
      <c r="G11" s="490"/>
      <c r="H11" s="479"/>
      <c r="I11" s="478"/>
      <c r="J11" s="478"/>
      <c r="K11" s="478"/>
      <c r="L11" s="480"/>
      <c r="M11" s="481"/>
      <c r="N11" s="481"/>
      <c r="O11" s="53"/>
      <c r="P11" s="142"/>
      <c r="Q11" s="520"/>
      <c r="R11" s="482"/>
      <c r="S11" s="513"/>
      <c r="T11" s="669" t="s">
        <v>478</v>
      </c>
      <c r="U11" s="215"/>
      <c r="V11" s="215"/>
      <c r="W11" s="215"/>
      <c r="X11" s="215"/>
      <c r="Y11" s="215"/>
      <c r="Z11" s="215"/>
      <c r="AA11" s="215"/>
      <c r="AB11" s="518"/>
      <c r="AC11" s="215"/>
      <c r="AD11" s="215"/>
      <c r="AE11" s="215"/>
      <c r="AF11" s="215"/>
      <c r="AG11" s="215"/>
      <c r="AH11" s="215"/>
      <c r="AI11" s="518"/>
      <c r="AJ11" s="215"/>
      <c r="AK11" s="519"/>
      <c r="AM11" s="128"/>
      <c r="AN11" s="128" t="str">
        <f t="shared" si="21"/>
        <v xml:space="preserve">Добавить наименование признака дифференциации</v>
      </c>
      <c r="AO11" s="128"/>
      <c r="AP11" s="128"/>
    </row>
    <row r="12" s="57" customFormat="1" ht="14.25" hidden="1" customHeight="1">
      <c r="A12" s="132"/>
      <c r="B12" s="132"/>
      <c r="C12" s="132"/>
      <c r="D12" s="132"/>
      <c r="E12" s="490"/>
      <c r="F12" s="479"/>
      <c r="G12" s="132"/>
      <c r="H12" s="132"/>
      <c r="I12" s="132"/>
      <c r="J12" s="132"/>
      <c r="K12" s="132"/>
      <c r="L12" s="213"/>
      <c r="M12" s="526"/>
      <c r="N12" s="526"/>
      <c r="P12" s="166"/>
      <c r="Q12" s="522"/>
      <c r="R12" s="166"/>
      <c r="S12" s="527"/>
      <c r="T12" s="530" t="s">
        <v>405</v>
      </c>
      <c r="U12" s="529"/>
      <c r="V12" s="529"/>
      <c r="W12" s="529"/>
      <c r="X12" s="529"/>
      <c r="Y12" s="529"/>
      <c r="Z12" s="529"/>
      <c r="AA12" s="529"/>
      <c r="AB12" s="529"/>
      <c r="AC12" s="529"/>
      <c r="AD12" s="529"/>
      <c r="AE12" s="529"/>
      <c r="AF12" s="529"/>
      <c r="AG12" s="529"/>
      <c r="AH12" s="529"/>
      <c r="AI12" s="529"/>
      <c r="AJ12" s="529"/>
      <c r="AK12" s="529"/>
      <c r="AM12" s="128"/>
      <c r="AN12" s="128" t="str">
        <f t="shared" si="21"/>
        <v xml:space="preserve">Добавить централизованную систему для дифференциации</v>
      </c>
      <c r="AO12" s="128"/>
      <c r="AP12" s="128"/>
    </row>
    <row r="13" s="57" customFormat="1" ht="14.25" hidden="1" customHeight="1">
      <c r="A13" s="132"/>
      <c r="B13" s="132"/>
      <c r="C13" s="132"/>
      <c r="D13" s="132"/>
      <c r="E13" s="479"/>
      <c r="F13" s="132"/>
      <c r="G13" s="132"/>
      <c r="H13" s="132"/>
      <c r="I13" s="132"/>
      <c r="J13" s="132"/>
      <c r="K13" s="132"/>
      <c r="L13" s="213"/>
      <c r="M13" s="526"/>
      <c r="N13" s="526"/>
      <c r="O13" s="57"/>
      <c r="P13" s="166"/>
      <c r="Q13" s="522"/>
      <c r="R13" s="166"/>
      <c r="S13" s="527"/>
      <c r="T13" s="530" t="s">
        <v>406</v>
      </c>
      <c r="U13" s="529"/>
      <c r="V13" s="529"/>
      <c r="W13" s="529"/>
      <c r="X13" s="529"/>
      <c r="Y13" s="529"/>
      <c r="Z13" s="529"/>
      <c r="AA13" s="529"/>
      <c r="AB13" s="529"/>
      <c r="AC13" s="529"/>
      <c r="AD13" s="529"/>
      <c r="AE13" s="529"/>
      <c r="AF13" s="529"/>
      <c r="AG13" s="529"/>
      <c r="AH13" s="529"/>
      <c r="AI13" s="529"/>
      <c r="AJ13" s="529"/>
      <c r="AK13" s="529"/>
      <c r="AM13" s="128"/>
      <c r="AN13" s="128" t="str">
        <f t="shared" si="21"/>
        <v xml:space="preserve">Добавить территорию для дифференциации</v>
      </c>
      <c r="AO13" s="128"/>
      <c r="AP13" s="128"/>
    </row>
    <row r="14" ht="14.25" hidden="1" customHeight="1">
      <c r="AB14" s="50"/>
      <c r="AI14" s="50"/>
    </row>
    <row r="15" ht="14.25" hidden="1" customHeight="1">
      <c r="AC15" s="531"/>
      <c r="AD15" s="531"/>
      <c r="AE15" s="532"/>
      <c r="AF15" s="533"/>
      <c r="AG15" s="534" t="s">
        <v>56</v>
      </c>
      <c r="AH15" s="533"/>
      <c r="AI15" s="534" t="s">
        <v>56</v>
      </c>
    </row>
    <row r="16" ht="14.25" hidden="1" customHeight="1">
      <c r="AC16" s="531"/>
      <c r="AD16" s="531"/>
      <c r="AE16" s="510" t="str">
        <f>AF15&amp;"-"&amp;AH15</f>
        <v>-</v>
      </c>
      <c r="AF16" s="534"/>
      <c r="AG16" s="534"/>
      <c r="AH16" s="534"/>
      <c r="AI16" s="534"/>
    </row>
    <row r="17" ht="14.25" hidden="1" customHeight="1">
      <c r="AI17" s="50"/>
    </row>
    <row r="18" s="53" customFormat="1" ht="22.5" hidden="1" customHeight="1">
      <c r="L18" s="113"/>
      <c r="M18" s="61"/>
      <c r="N18" s="61"/>
      <c r="O18" s="535" t="s">
        <v>407</v>
      </c>
      <c r="P18" s="61"/>
      <c r="Q18" s="536"/>
      <c r="R18" s="536"/>
      <c r="S18" s="481"/>
      <c r="Y18" s="535"/>
      <c r="AA18" s="535"/>
      <c r="AB18" s="53"/>
      <c r="AF18" s="535"/>
      <c r="AH18" s="535"/>
      <c r="AI18" s="53"/>
      <c r="AL18" s="57"/>
      <c r="AM18" s="57"/>
      <c r="AN18" s="57"/>
      <c r="AO18" s="57"/>
      <c r="AP18" s="57"/>
    </row>
    <row r="19" s="53" customFormat="1" ht="14.25" hidden="1" customHeight="1">
      <c r="L19" s="113"/>
      <c r="M19" s="61"/>
      <c r="N19" s="61"/>
      <c r="O19" s="61"/>
      <c r="P19" s="61"/>
      <c r="Q19" s="536"/>
      <c r="R19" s="536"/>
      <c r="S19" s="481"/>
      <c r="AB19" s="53"/>
      <c r="AI19" s="53"/>
      <c r="AL19" s="57"/>
      <c r="AM19" s="57"/>
      <c r="AN19" s="57"/>
      <c r="AO19" s="57"/>
      <c r="AP19" s="57"/>
    </row>
    <row r="20" s="53" customFormat="1" ht="12" hidden="1" customHeight="1">
      <c r="L20" s="113"/>
      <c r="M20" s="61"/>
      <c r="N20" s="61"/>
      <c r="O20" s="480" t="s">
        <v>408</v>
      </c>
      <c r="P20" s="61"/>
      <c r="Q20" s="670"/>
      <c r="R20" s="670"/>
      <c r="S20" s="481"/>
      <c r="T20" s="53" t="s">
        <v>409</v>
      </c>
      <c r="Z20" s="150" t="s">
        <v>410</v>
      </c>
      <c r="AB20" s="150" t="s">
        <v>411</v>
      </c>
      <c r="AC20" s="53" t="s">
        <v>409</v>
      </c>
      <c r="AG20" s="150" t="s">
        <v>412</v>
      </c>
      <c r="AI20" s="150" t="s">
        <v>411</v>
      </c>
    </row>
    <row r="21" ht="14.25" hidden="1" customHeight="1">
      <c r="O21" s="480"/>
    </row>
    <row r="22" ht="14.25" hidden="1" customHeight="1">
      <c r="O22" s="480"/>
    </row>
    <row r="23" ht="14.25" customHeight="1">
      <c r="Q23" s="537"/>
      <c r="R23" s="537"/>
      <c r="S23" s="538"/>
      <c r="T23" s="89"/>
      <c r="U23" s="89"/>
      <c r="V23" s="50"/>
      <c r="W23" s="50"/>
      <c r="X23" s="50"/>
      <c r="Y23" s="50"/>
      <c r="Z23" s="50"/>
      <c r="AA23" s="50"/>
      <c r="AB23" s="50"/>
      <c r="AC23" s="50"/>
      <c r="AD23" s="50"/>
      <c r="AE23" s="50"/>
      <c r="AF23" s="50"/>
      <c r="AG23" s="50"/>
      <c r="AH23" s="50"/>
      <c r="AI23" s="50"/>
    </row>
    <row r="24" ht="14.25" customHeight="1">
      <c r="Q24" s="537"/>
      <c r="R24" s="537"/>
      <c r="S24" s="45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51"/>
      <c r="U24" s="451"/>
      <c r="V24" s="451"/>
      <c r="W24" s="451"/>
      <c r="X24" s="451"/>
      <c r="Y24" s="451"/>
      <c r="Z24" s="451"/>
      <c r="AA24" s="451"/>
      <c r="AB24" s="451"/>
      <c r="AC24" s="451"/>
      <c r="AD24" s="451"/>
      <c r="AE24" s="451"/>
      <c r="AF24" s="451"/>
      <c r="AG24" s="451"/>
      <c r="AH24" s="451"/>
      <c r="AI24" s="241"/>
    </row>
    <row r="25" ht="14.25" customHeight="1">
      <c r="Q25" s="537"/>
      <c r="R25" s="537"/>
      <c r="S25" s="302" t="str">
        <f>IF(org=0,"Не определено",org)</f>
        <v xml:space="preserve">филиал ПАО "ОГК-2" - Адлерская ТЭС</v>
      </c>
      <c r="T25" s="302"/>
      <c r="U25" s="302"/>
      <c r="V25" s="302"/>
      <c r="W25" s="302"/>
      <c r="X25" s="302"/>
      <c r="Y25" s="302"/>
      <c r="Z25" s="302"/>
      <c r="AA25" s="302"/>
      <c r="AB25" s="302"/>
      <c r="AC25" s="302"/>
      <c r="AD25" s="302"/>
      <c r="AE25" s="302"/>
      <c r="AF25" s="302"/>
      <c r="AG25" s="302"/>
      <c r="AH25" s="302"/>
      <c r="AI25" s="241"/>
    </row>
    <row r="26" ht="14.25" hidden="1" customHeight="1">
      <c r="Q26" s="537"/>
      <c r="R26" s="537"/>
      <c r="S26" s="538"/>
      <c r="T26" s="89"/>
      <c r="U26" s="89"/>
      <c r="V26" s="539"/>
      <c r="W26" s="539"/>
      <c r="X26" s="539"/>
      <c r="Y26" s="539"/>
      <c r="Z26" s="539"/>
      <c r="AA26" s="539"/>
      <c r="AB26" s="539"/>
      <c r="AC26" s="539"/>
      <c r="AD26" s="539"/>
      <c r="AE26" s="539"/>
      <c r="AF26" s="539"/>
      <c r="AG26" s="539"/>
      <c r="AH26" s="539"/>
      <c r="AI26" s="539"/>
      <c r="AJ26" s="50"/>
    </row>
    <row r="27" s="185" customFormat="1" ht="25.5" hidden="1" customHeight="1">
      <c r="A27" s="150"/>
      <c r="B27" s="150"/>
      <c r="C27" s="150"/>
      <c r="D27" s="150"/>
      <c r="E27" s="150"/>
      <c r="F27" s="150"/>
      <c r="G27" s="150"/>
      <c r="H27" s="150"/>
      <c r="I27" s="150"/>
      <c r="J27" s="150"/>
      <c r="K27" s="150"/>
      <c r="L27" s="480"/>
      <c r="M27" s="150"/>
      <c r="N27" s="150"/>
      <c r="O27" s="150"/>
      <c r="S27" s="540" t="s">
        <v>38</v>
      </c>
      <c r="T27" s="540"/>
      <c r="U27" s="541"/>
      <c r="V27" s="542" t="str">
        <f>IF(TITLE_NAME_OR_PR_CHANGE="",IF(TITLE_NAME_OR_PR="","",TITLE_NAME_OR_PR),TITLE_NAME_OR_PR_CHANGE)</f>
        <v/>
      </c>
      <c r="W27" s="542"/>
      <c r="X27" s="542"/>
      <c r="Y27" s="542"/>
      <c r="Z27" s="542"/>
      <c r="AA27" s="542"/>
      <c r="AB27" s="50"/>
      <c r="AC27" s="542" t="str">
        <f>IF(TITLE_NAME_OR_PR_CHANGE="",IF(TITLE_NAME_OR_PR="","",TITLE_NAME_OR_PR),TITLE_NAME_OR_PR_CHANGE)</f>
        <v/>
      </c>
      <c r="AD27" s="542"/>
      <c r="AE27" s="542"/>
      <c r="AF27" s="542"/>
      <c r="AG27" s="542"/>
      <c r="AH27" s="542"/>
      <c r="AI27" s="50"/>
      <c r="AJ27" s="50"/>
      <c r="AK27" s="543"/>
      <c r="AL27" s="128"/>
      <c r="AM27" s="128"/>
      <c r="AN27" s="128"/>
      <c r="AO27" s="128"/>
      <c r="AP27" s="128"/>
    </row>
    <row r="28" s="185" customFormat="1" ht="18.75" hidden="1" customHeight="1">
      <c r="A28" s="150"/>
      <c r="B28" s="150"/>
      <c r="C28" s="150"/>
      <c r="D28" s="150"/>
      <c r="E28" s="150"/>
      <c r="F28" s="150"/>
      <c r="G28" s="150"/>
      <c r="H28" s="150"/>
      <c r="I28" s="150"/>
      <c r="J28" s="150"/>
      <c r="K28" s="150"/>
      <c r="L28" s="480"/>
      <c r="M28" s="150"/>
      <c r="N28" s="150"/>
      <c r="O28" s="150"/>
      <c r="S28" s="540" t="s">
        <v>413</v>
      </c>
      <c r="T28" s="540"/>
      <c r="U28" s="541"/>
      <c r="V28" s="544" t="str">
        <f>IF(TITLE_DATE_PR_CHANGE="",IF(TITLE_DATE_PR="","",TITLE_DATE_PR),TITLE_DATE_PR_CHANGE)</f>
        <v/>
      </c>
      <c r="W28" s="544"/>
      <c r="X28" s="544"/>
      <c r="Y28" s="544"/>
      <c r="Z28" s="544"/>
      <c r="AA28" s="544"/>
      <c r="AB28" s="50"/>
      <c r="AC28" s="544" t="str">
        <f>IF(TITLE_DATE_PR_CHANGE="",IF(TITLE_DATE_PR="","",TITLE_DATE_PR),TITLE_DATE_PR_CHANGE)</f>
        <v/>
      </c>
      <c r="AD28" s="544"/>
      <c r="AE28" s="544"/>
      <c r="AF28" s="544"/>
      <c r="AG28" s="544"/>
      <c r="AH28" s="544"/>
      <c r="AI28" s="50"/>
      <c r="AJ28" s="50"/>
      <c r="AK28" s="543"/>
      <c r="AL28" s="128"/>
      <c r="AM28" s="128"/>
      <c r="AN28" s="128"/>
      <c r="AO28" s="128"/>
      <c r="AP28" s="128"/>
    </row>
    <row r="29" s="185" customFormat="1" ht="18.75" hidden="1" customHeight="1">
      <c r="A29" s="150"/>
      <c r="B29" s="150"/>
      <c r="C29" s="150"/>
      <c r="D29" s="150"/>
      <c r="E29" s="150"/>
      <c r="F29" s="150"/>
      <c r="G29" s="150"/>
      <c r="H29" s="150"/>
      <c r="I29" s="150"/>
      <c r="J29" s="150"/>
      <c r="K29" s="150"/>
      <c r="L29" s="480"/>
      <c r="M29" s="150"/>
      <c r="N29" s="150"/>
      <c r="O29" s="150"/>
      <c r="S29" s="540" t="s">
        <v>414</v>
      </c>
      <c r="T29" s="540"/>
      <c r="U29" s="541"/>
      <c r="V29" s="542" t="str">
        <f>IF(TITLE_NUMBER_PR_CHANGE="",IF(TITLE_NUMBER_PR="","",TITLE_NUMBER_PR),TITLE_NUMBER_PR_CHANGE)</f>
        <v/>
      </c>
      <c r="W29" s="542"/>
      <c r="X29" s="542"/>
      <c r="Y29" s="542"/>
      <c r="Z29" s="542"/>
      <c r="AA29" s="542"/>
      <c r="AB29" s="50"/>
      <c r="AC29" s="542" t="str">
        <f>IF(TITLE_NUMBER_PR_CHANGE="",IF(TITLE_NUMBER_PR="","",TITLE_NUMBER_PR),TITLE_NUMBER_PR_CHANGE)</f>
        <v/>
      </c>
      <c r="AD29" s="542"/>
      <c r="AE29" s="542"/>
      <c r="AF29" s="542"/>
      <c r="AG29" s="542"/>
      <c r="AH29" s="542"/>
      <c r="AI29" s="50"/>
      <c r="AJ29" s="50"/>
      <c r="AK29" s="543"/>
      <c r="AL29" s="128"/>
      <c r="AM29" s="128"/>
      <c r="AN29" s="128"/>
      <c r="AO29" s="128"/>
      <c r="AP29" s="128"/>
    </row>
    <row r="30" s="185" customFormat="1" ht="18.75" hidden="1" customHeight="1">
      <c r="A30" s="150"/>
      <c r="B30" s="150"/>
      <c r="C30" s="150"/>
      <c r="D30" s="150"/>
      <c r="E30" s="150"/>
      <c r="F30" s="150"/>
      <c r="G30" s="150"/>
      <c r="H30" s="150"/>
      <c r="I30" s="150"/>
      <c r="J30" s="150"/>
      <c r="K30" s="150"/>
      <c r="L30" s="480"/>
      <c r="M30" s="150"/>
      <c r="N30" s="150"/>
      <c r="O30" s="150"/>
      <c r="S30" s="540" t="s">
        <v>39</v>
      </c>
      <c r="T30" s="540"/>
      <c r="U30" s="541"/>
      <c r="V30" s="542" t="str">
        <f>IF(TITLE_IST_PUB_CHANGE="",IF(TITLE_IST_PUB="","",TITLE_IST_PUB),TITLE_IST_PUB_CHANGE)</f>
        <v/>
      </c>
      <c r="W30" s="542"/>
      <c r="X30" s="542"/>
      <c r="Y30" s="542"/>
      <c r="Z30" s="542"/>
      <c r="AA30" s="542"/>
      <c r="AB30" s="50"/>
      <c r="AC30" s="542" t="str">
        <f>IF(TITLE_IST_PUB_CHANGE="",IF(TITLE_IST_PUB="","",TITLE_IST_PUB),TITLE_IST_PUB_CHANGE)</f>
        <v/>
      </c>
      <c r="AD30" s="542"/>
      <c r="AE30" s="542"/>
      <c r="AF30" s="542"/>
      <c r="AG30" s="542"/>
      <c r="AH30" s="542"/>
      <c r="AI30" s="50"/>
      <c r="AJ30" s="50"/>
      <c r="AK30" s="543"/>
      <c r="AL30" s="128"/>
      <c r="AM30" s="128"/>
      <c r="AN30" s="128"/>
      <c r="AO30" s="128"/>
      <c r="AP30" s="128"/>
    </row>
    <row r="31" ht="14.25" hidden="1" customHeight="1">
      <c r="Q31" s="537"/>
      <c r="R31" s="537"/>
      <c r="S31" s="538"/>
      <c r="T31" s="89"/>
      <c r="U31" s="89"/>
      <c r="V31" s="539"/>
      <c r="W31" s="539"/>
      <c r="X31" s="539"/>
      <c r="Y31" s="539"/>
      <c r="Z31" s="539"/>
      <c r="AA31" s="539"/>
      <c r="AB31" s="539"/>
      <c r="AC31" s="539"/>
      <c r="AD31" s="539"/>
      <c r="AE31" s="539"/>
      <c r="AF31" s="539"/>
      <c r="AG31" s="539"/>
      <c r="AH31" s="539"/>
      <c r="AI31" s="539"/>
      <c r="AJ31" s="50"/>
    </row>
    <row r="32" s="185" customFormat="1" ht="18.75" hidden="1" customHeight="1">
      <c r="A32" s="150"/>
      <c r="B32" s="150"/>
      <c r="C32" s="150"/>
      <c r="D32" s="150"/>
      <c r="E32" s="150"/>
      <c r="F32" s="150"/>
      <c r="G32" s="150"/>
      <c r="H32" s="150"/>
      <c r="I32" s="150"/>
      <c r="J32" s="150"/>
      <c r="K32" s="150"/>
      <c r="L32" s="480"/>
      <c r="M32" s="150"/>
      <c r="N32" s="150"/>
      <c r="O32" s="150"/>
      <c r="S32" s="540" t="s">
        <v>415</v>
      </c>
      <c r="T32" s="540"/>
      <c r="U32" s="541"/>
      <c r="V32" s="544" t="str">
        <f>IF(TITLE_DATE_PR_CHANGE="",IF(TITLE_DATE_PR="","",TITLE_DATE_PR),TITLE_DATE_PR_CHANGE)</f>
        <v/>
      </c>
      <c r="W32" s="544"/>
      <c r="X32" s="544"/>
      <c r="Y32" s="544"/>
      <c r="Z32" s="544"/>
      <c r="AA32" s="544"/>
      <c r="AB32" s="50"/>
      <c r="AC32" s="544" t="str">
        <f>IF(TITLE_DATE_PR_CHANGE="",IF(TITLE_DATE_PR="","",TITLE_DATE_PR),TITLE_DATE_PR_CHANGE)</f>
        <v/>
      </c>
      <c r="AD32" s="544"/>
      <c r="AE32" s="544"/>
      <c r="AF32" s="544"/>
      <c r="AG32" s="544"/>
      <c r="AH32" s="544"/>
      <c r="AI32" s="50"/>
      <c r="AJ32" s="50"/>
      <c r="AK32" s="543"/>
      <c r="AL32" s="128"/>
      <c r="AM32" s="128"/>
      <c r="AN32" s="128"/>
      <c r="AO32" s="128"/>
      <c r="AP32" s="128"/>
    </row>
    <row r="33" s="185" customFormat="1" ht="18.75" hidden="1" customHeight="1">
      <c r="A33" s="150"/>
      <c r="B33" s="150"/>
      <c r="C33" s="150"/>
      <c r="D33" s="150"/>
      <c r="E33" s="150"/>
      <c r="F33" s="150"/>
      <c r="G33" s="150"/>
      <c r="H33" s="150"/>
      <c r="I33" s="150"/>
      <c r="J33" s="150"/>
      <c r="K33" s="150"/>
      <c r="L33" s="480"/>
      <c r="M33" s="150"/>
      <c r="N33" s="150"/>
      <c r="O33" s="150"/>
      <c r="S33" s="540" t="s">
        <v>416</v>
      </c>
      <c r="T33" s="540"/>
      <c r="U33" s="541"/>
      <c r="V33" s="542" t="str">
        <f>IF(TITLE_NUMBER_PR_CHANGE="",IF(TITLE_NUMBER_PR="","",TITLE_NUMBER_PR),TITLE_NUMBER_PR_CHANGE)</f>
        <v/>
      </c>
      <c r="W33" s="542"/>
      <c r="X33" s="542"/>
      <c r="Y33" s="542"/>
      <c r="Z33" s="542"/>
      <c r="AA33" s="542"/>
      <c r="AB33" s="50"/>
      <c r="AC33" s="542" t="str">
        <f>IF(TITLE_NUMBER_PR_CHANGE="",IF(TITLE_NUMBER_PR="","",TITLE_NUMBER_PR),TITLE_NUMBER_PR_CHANGE)</f>
        <v/>
      </c>
      <c r="AD33" s="542"/>
      <c r="AE33" s="542"/>
      <c r="AF33" s="542"/>
      <c r="AG33" s="542"/>
      <c r="AH33" s="542"/>
      <c r="AI33" s="50"/>
      <c r="AJ33" s="50"/>
      <c r="AK33" s="543"/>
      <c r="AL33" s="128"/>
      <c r="AM33" s="128"/>
      <c r="AN33" s="128"/>
      <c r="AO33" s="128"/>
      <c r="AP33" s="128"/>
    </row>
    <row r="34" s="185" customFormat="1" ht="0.75" customHeight="1">
      <c r="A34" s="150"/>
      <c r="B34" s="150"/>
      <c r="C34" s="150"/>
      <c r="D34" s="150"/>
      <c r="E34" s="150"/>
      <c r="F34" s="150"/>
      <c r="G34" s="150"/>
      <c r="H34" s="150"/>
      <c r="I34" s="150"/>
      <c r="J34" s="150"/>
      <c r="K34" s="150"/>
      <c r="L34" s="480"/>
      <c r="M34" s="150"/>
      <c r="N34" s="150"/>
      <c r="O34" s="150"/>
      <c r="S34" s="50"/>
      <c r="T34" s="50"/>
      <c r="U34" s="139"/>
      <c r="V34" s="50"/>
      <c r="W34" s="50"/>
      <c r="X34" s="50"/>
      <c r="Y34" s="50"/>
      <c r="Z34" s="50"/>
      <c r="AA34" s="50"/>
      <c r="AB34" s="57" t="s">
        <v>417</v>
      </c>
      <c r="AC34" s="50"/>
      <c r="AD34" s="50"/>
      <c r="AE34" s="50"/>
      <c r="AF34" s="50"/>
      <c r="AG34" s="50"/>
      <c r="AH34" s="50"/>
      <c r="AI34" s="57" t="s">
        <v>417</v>
      </c>
      <c r="AL34" s="128"/>
      <c r="AM34" s="128"/>
      <c r="AN34" s="128"/>
      <c r="AO34" s="128"/>
      <c r="AP34" s="128"/>
    </row>
    <row r="35" ht="14.25" customHeight="1">
      <c r="Q35" s="537"/>
      <c r="R35" s="537"/>
      <c r="S35" s="538"/>
      <c r="T35" s="89"/>
      <c r="U35" s="545"/>
      <c r="V35" s="546"/>
      <c r="W35" s="546"/>
      <c r="X35" s="546"/>
      <c r="Y35" s="546"/>
      <c r="Z35" s="546"/>
      <c r="AA35" s="546"/>
      <c r="AB35" s="546"/>
      <c r="AC35" s="546"/>
      <c r="AD35" s="546"/>
      <c r="AE35" s="546"/>
      <c r="AF35" s="546"/>
      <c r="AG35" s="546"/>
      <c r="AH35" s="546"/>
      <c r="AI35" s="546"/>
    </row>
    <row r="36" ht="14.25" customHeight="1">
      <c r="Q36" s="537"/>
      <c r="R36" s="537"/>
      <c r="S36" s="156" t="s">
        <v>288</v>
      </c>
      <c r="T36" s="156"/>
      <c r="U36" s="156"/>
      <c r="V36" s="156"/>
      <c r="W36" s="156"/>
      <c r="X36" s="156"/>
      <c r="Y36" s="156"/>
      <c r="Z36" s="156"/>
      <c r="AA36" s="156"/>
      <c r="AB36" s="156"/>
      <c r="AC36" s="156"/>
      <c r="AD36" s="156"/>
      <c r="AE36" s="156"/>
      <c r="AF36" s="156"/>
      <c r="AG36" s="156"/>
      <c r="AH36" s="156"/>
      <c r="AI36" s="156"/>
      <c r="AJ36" s="156"/>
      <c r="AK36" s="156" t="s">
        <v>289</v>
      </c>
    </row>
    <row r="37" ht="14.25" customHeight="1">
      <c r="Q37" s="537"/>
      <c r="R37" s="537"/>
      <c r="S37" s="483" t="s">
        <v>85</v>
      </c>
      <c r="T37" s="347" t="s">
        <v>418</v>
      </c>
      <c r="U37" s="547"/>
      <c r="V37" s="548" t="s">
        <v>419</v>
      </c>
      <c r="W37" s="549"/>
      <c r="X37" s="549"/>
      <c r="Y37" s="549"/>
      <c r="Z37" s="549"/>
      <c r="AA37" s="550"/>
      <c r="AB37" s="551" t="s">
        <v>420</v>
      </c>
      <c r="AC37" s="548" t="s">
        <v>419</v>
      </c>
      <c r="AD37" s="549"/>
      <c r="AE37" s="549"/>
      <c r="AF37" s="549"/>
      <c r="AG37" s="549"/>
      <c r="AH37" s="550"/>
      <c r="AI37" s="551" t="s">
        <v>421</v>
      </c>
      <c r="AJ37" s="552" t="s">
        <v>422</v>
      </c>
      <c r="AK37" s="156"/>
    </row>
    <row r="38" ht="33.75" customHeight="1">
      <c r="Q38" s="537"/>
      <c r="R38" s="537"/>
      <c r="S38" s="483"/>
      <c r="T38" s="347"/>
      <c r="U38" s="553"/>
      <c r="V38" s="306" t="s">
        <v>479</v>
      </c>
      <c r="W38" s="73" t="s">
        <v>425</v>
      </c>
      <c r="X38" s="72"/>
      <c r="Y38" s="73" t="s">
        <v>426</v>
      </c>
      <c r="Z38" s="144"/>
      <c r="AA38" s="72"/>
      <c r="AB38" s="555"/>
      <c r="AC38" s="306" t="s">
        <v>479</v>
      </c>
      <c r="AD38" s="73" t="s">
        <v>425</v>
      </c>
      <c r="AE38" s="72"/>
      <c r="AF38" s="73" t="s">
        <v>426</v>
      </c>
      <c r="AG38" s="144"/>
      <c r="AH38" s="72"/>
      <c r="AI38" s="555"/>
      <c r="AJ38" s="556"/>
      <c r="AK38" s="156"/>
    </row>
    <row r="39" ht="33.75" customHeight="1">
      <c r="A39" s="150"/>
      <c r="B39" s="150" t="s">
        <v>137</v>
      </c>
      <c r="C39" s="150" t="s">
        <v>138</v>
      </c>
      <c r="D39" s="150" t="s">
        <v>139</v>
      </c>
      <c r="E39" s="480" t="s">
        <v>427</v>
      </c>
      <c r="F39" s="480" t="s">
        <v>428</v>
      </c>
      <c r="G39" s="480" t="s">
        <v>429</v>
      </c>
      <c r="H39" s="480"/>
      <c r="I39" s="480" t="s">
        <v>480</v>
      </c>
      <c r="J39" s="480" t="s">
        <v>432</v>
      </c>
      <c r="K39" s="480" t="s">
        <v>481</v>
      </c>
      <c r="L39" s="480" t="s">
        <v>408</v>
      </c>
      <c r="Q39" s="537"/>
      <c r="R39" s="537"/>
      <c r="S39" s="483"/>
      <c r="T39" s="347"/>
      <c r="U39" s="557"/>
      <c r="V39" s="306" t="s">
        <v>482</v>
      </c>
      <c r="W39" s="247" t="s">
        <v>483</v>
      </c>
      <c r="X39" s="247" t="s">
        <v>484</v>
      </c>
      <c r="Y39" s="247" t="s">
        <v>436</v>
      </c>
      <c r="Z39" s="414" t="s">
        <v>437</v>
      </c>
      <c r="AA39" s="416"/>
      <c r="AB39" s="559"/>
      <c r="AC39" s="306" t="s">
        <v>482</v>
      </c>
      <c r="AD39" s="247" t="s">
        <v>483</v>
      </c>
      <c r="AE39" s="247" t="s">
        <v>484</v>
      </c>
      <c r="AF39" s="247" t="s">
        <v>436</v>
      </c>
      <c r="AG39" s="414" t="s">
        <v>437</v>
      </c>
      <c r="AH39" s="416"/>
      <c r="AI39" s="559"/>
      <c r="AJ39" s="560"/>
      <c r="AK39" s="156"/>
    </row>
    <row r="40" s="130" customFormat="1" ht="11.25" hidden="1" customHeight="1">
      <c r="A40" s="150"/>
      <c r="B40" s="150"/>
      <c r="C40" s="150"/>
      <c r="D40" s="150"/>
      <c r="E40" s="150"/>
      <c r="F40" s="150"/>
      <c r="G40" s="150"/>
      <c r="H40" s="150"/>
      <c r="I40" s="150"/>
      <c r="J40" s="150"/>
      <c r="K40" s="150"/>
      <c r="L40" s="480"/>
      <c r="M40" s="61"/>
      <c r="N40" s="61"/>
      <c r="O40" s="61"/>
      <c r="P40" s="561"/>
      <c r="Q40" s="562"/>
      <c r="R40" s="563">
        <v>1</v>
      </c>
      <c r="S40" s="564" t="s">
        <v>111</v>
      </c>
      <c r="T40" s="565" t="s">
        <v>99</v>
      </c>
      <c r="U40" s="566" t="str">
        <f ca="1">OFFSET(U40,0,-1)</f>
        <v>2</v>
      </c>
      <c r="V40" s="567">
        <f ca="1">OFFSET(V40,0,-1)+1</f>
        <v>3</v>
      </c>
      <c r="W40" s="567">
        <f ca="1">OFFSET(W40,0,-1)+1</f>
        <v>4</v>
      </c>
      <c r="X40" s="567">
        <f ca="1">OFFSET(X40,0,-1)+1</f>
        <v>5</v>
      </c>
      <c r="Y40" s="567">
        <f ca="1">OFFSET(Y40,0,-1)+1</f>
        <v>6</v>
      </c>
      <c r="Z40" s="567">
        <f ca="1">OFFSET(Z40,0,-1)+1</f>
        <v>7</v>
      </c>
      <c r="AA40" s="567"/>
      <c r="AB40" s="567">
        <f ca="1">OFFSET(AB40,0,-2)+1</f>
        <v>8</v>
      </c>
      <c r="AC40" s="567">
        <f ca="1">OFFSET(AC40,0,-1)+1</f>
        <v>9</v>
      </c>
      <c r="AD40" s="567">
        <f ca="1">OFFSET(AD40,0,-1)+1</f>
        <v>10</v>
      </c>
      <c r="AE40" s="567">
        <f ca="1">OFFSET(AE40,0,-1)+1</f>
        <v>11</v>
      </c>
      <c r="AF40" s="567">
        <f ca="1">OFFSET(AF40,0,-1)+1</f>
        <v>12</v>
      </c>
      <c r="AG40" s="567">
        <f ca="1">OFFSET(AG40,0,-1)+1</f>
        <v>13</v>
      </c>
      <c r="AH40" s="567"/>
      <c r="AI40" s="567">
        <f ca="1">OFFSET(AI40,0,-2)+1</f>
        <v>14</v>
      </c>
      <c r="AJ40" s="566">
        <f ca="1">OFFSET(AJ40,0,-1)</f>
        <v>14</v>
      </c>
      <c r="AK40" s="567">
        <f ca="1">OFFSET(AK40,0,-1)+1</f>
        <v>15</v>
      </c>
      <c r="AL40" s="57"/>
      <c r="AM40" s="57"/>
      <c r="AN40" s="57"/>
      <c r="AO40" s="57"/>
      <c r="AP40" s="57"/>
    </row>
    <row r="41" ht="23.25" customHeight="1">
      <c r="A41" s="478" t="s">
        <v>214</v>
      </c>
      <c r="B41" s="478"/>
      <c r="C41" s="478"/>
      <c r="D41" s="478"/>
      <c r="E41" s="479">
        <v>1</v>
      </c>
      <c r="F41" s="478"/>
      <c r="G41" s="478"/>
      <c r="H41" s="478"/>
      <c r="I41" s="478"/>
      <c r="J41" s="478"/>
      <c r="K41" s="478"/>
      <c r="L41" s="480"/>
      <c r="M41" s="481"/>
      <c r="N41" s="481"/>
      <c r="O41" s="481"/>
      <c r="P41" s="60"/>
      <c r="Q41" s="142"/>
      <c r="R41" s="482"/>
      <c r="S41" s="483">
        <f>INDEX(PT_DIFFERENTIATION_NUM_NTAR,MATCH(A41,PT_DIFFERENTIATION_NTAR_ID,0))</f>
        <v>0</v>
      </c>
      <c r="T41" s="484" t="s">
        <v>125</v>
      </c>
      <c r="U41" s="485"/>
      <c r="V41" s="486"/>
      <c r="W41" s="487"/>
      <c r="X41" s="487"/>
      <c r="Y41" s="487"/>
      <c r="Z41" s="487"/>
      <c r="AA41" s="487"/>
      <c r="AB41" s="488"/>
      <c r="AC41" s="486" t="str">
        <f>INDEX(PT_DIFFERENTIATION_NTAR,MATCH(A41,PT_DIFFERENTIATION_NTAR_ID,0))</f>
        <v/>
      </c>
      <c r="AD41" s="487"/>
      <c r="AE41" s="487"/>
      <c r="AF41" s="487"/>
      <c r="AG41" s="487"/>
      <c r="AH41" s="487"/>
      <c r="AI41" s="487"/>
      <c r="AJ41" s="488"/>
      <c r="AK41"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8"/>
      <c r="AN41" s="128" t="str">
        <f t="shared" si="21"/>
        <v xml:space="preserve">Наименование тарифа</v>
      </c>
      <c r="AO41" s="128"/>
      <c r="AP41" s="128"/>
    </row>
    <row r="42" ht="23.25" customHeight="1">
      <c r="A42" s="478" t="s">
        <v>214</v>
      </c>
      <c r="B42" s="478" t="s">
        <v>215</v>
      </c>
      <c r="C42" s="478"/>
      <c r="D42" s="478"/>
      <c r="E42" s="490"/>
      <c r="F42" s="479">
        <v>1</v>
      </c>
      <c r="G42" s="478"/>
      <c r="H42" s="478"/>
      <c r="I42" s="478"/>
      <c r="J42" s="478"/>
      <c r="K42" s="478"/>
      <c r="L42" s="480"/>
      <c r="M42" s="481"/>
      <c r="N42" s="481"/>
      <c r="O42" s="481"/>
      <c r="P42" s="51"/>
      <c r="Q42" s="491"/>
      <c r="R42" s="492"/>
      <c r="S42" s="483" t="str">
        <f>INDEX(PT_DIFFERENTIATION_NUM_TER,MATCH(B42,PT_DIFFERENTIATION_TER_ID,0))</f>
        <v>.</v>
      </c>
      <c r="T42" s="493" t="s">
        <v>387</v>
      </c>
      <c r="U42" s="485"/>
      <c r="V42" s="486"/>
      <c r="W42" s="487"/>
      <c r="X42" s="487"/>
      <c r="Y42" s="487"/>
      <c r="Z42" s="487"/>
      <c r="AA42" s="487"/>
      <c r="AB42" s="488"/>
      <c r="AC42" s="486" t="str">
        <f>INDEX(PT_DIFFERENTIATION_TER,MATCH(B42,PT_DIFFERENTIATION_TER_ID,0))</f>
        <v/>
      </c>
      <c r="AD42" s="487"/>
      <c r="AE42" s="487"/>
      <c r="AF42" s="487"/>
      <c r="AG42" s="487"/>
      <c r="AH42" s="487"/>
      <c r="AI42" s="487"/>
      <c r="AJ42" s="488"/>
      <c r="AK42" s="489" t="s">
        <v>388</v>
      </c>
      <c r="AM42" s="128"/>
      <c r="AN42" s="128" t="str">
        <f t="shared" si="21"/>
        <v xml:space="preserve">Территория действия тарифа</v>
      </c>
      <c r="AO42" s="128"/>
      <c r="AP42" s="128"/>
    </row>
    <row r="43" ht="23.25" customHeight="1">
      <c r="A43" s="478" t="s">
        <v>214</v>
      </c>
      <c r="B43" s="478" t="s">
        <v>215</v>
      </c>
      <c r="C43" s="478" t="s">
        <v>216</v>
      </c>
      <c r="D43" s="478"/>
      <c r="E43" s="490"/>
      <c r="F43" s="490"/>
      <c r="G43" s="479">
        <v>1</v>
      </c>
      <c r="H43" s="478"/>
      <c r="I43" s="478"/>
      <c r="J43" s="478"/>
      <c r="K43" s="478"/>
      <c r="L43" s="480"/>
      <c r="M43" s="481"/>
      <c r="N43" s="481"/>
      <c r="O43" s="481"/>
      <c r="P43" s="494"/>
      <c r="Q43" s="491"/>
      <c r="R43" s="492"/>
      <c r="S43" s="483" t="str">
        <f>INDEX(PT_DIFFERENTIATION_NUM_CS,MATCH(C43,PT_DIFFERENTIATION_CS_ID,0))</f>
        <v>..</v>
      </c>
      <c r="T43" s="495" t="s">
        <v>471</v>
      </c>
      <c r="U43" s="485"/>
      <c r="V43" s="486"/>
      <c r="W43" s="487"/>
      <c r="X43" s="487"/>
      <c r="Y43" s="487"/>
      <c r="Z43" s="487"/>
      <c r="AA43" s="487"/>
      <c r="AB43" s="488"/>
      <c r="AC43" s="486" t="str">
        <f>INDEX(PT_DIFFERENTIATION_CS,MATCH(C43,PT_DIFFERENTIATION_CS_ID,0))</f>
        <v/>
      </c>
      <c r="AD43" s="487"/>
      <c r="AE43" s="487"/>
      <c r="AF43" s="487"/>
      <c r="AG43" s="487"/>
      <c r="AH43" s="487"/>
      <c r="AI43" s="487"/>
      <c r="AJ43" s="488"/>
      <c r="AK43" s="489" t="s">
        <v>472</v>
      </c>
      <c r="AM43" s="128"/>
      <c r="AN43" s="128" t="str">
        <f t="shared" si="21"/>
        <v xml:space="preserve">Наименование централизованной системы холодного водоснабжения</v>
      </c>
      <c r="AO43" s="128"/>
      <c r="AP43" s="128"/>
    </row>
    <row r="44" ht="23.25" customHeight="1">
      <c r="A44" s="478" t="s">
        <v>214</v>
      </c>
      <c r="B44" s="478" t="s">
        <v>215</v>
      </c>
      <c r="C44" s="478" t="s">
        <v>216</v>
      </c>
      <c r="D44" s="478" t="s">
        <v>485</v>
      </c>
      <c r="E44" s="490"/>
      <c r="F44" s="490"/>
      <c r="G44" s="490"/>
      <c r="H44" s="490"/>
      <c r="I44" s="167" t="str">
        <f>S43&amp;".1"</f>
        <v>...1</v>
      </c>
      <c r="J44" s="478"/>
      <c r="K44" s="478"/>
      <c r="L44" s="480"/>
      <c r="P44" s="131">
        <v>1</v>
      </c>
      <c r="Q44" s="131"/>
      <c r="R44" s="497"/>
      <c r="S44" s="483" t="str">
        <f>$I44</f>
        <v>...1</v>
      </c>
      <c r="T44" s="498" t="s">
        <v>473</v>
      </c>
      <c r="U44" s="485"/>
      <c r="V44" s="658"/>
      <c r="W44" s="659"/>
      <c r="X44" s="659"/>
      <c r="Y44" s="659"/>
      <c r="Z44" s="659"/>
      <c r="AA44" s="659"/>
      <c r="AB44" s="660"/>
      <c r="AC44" s="661"/>
      <c r="AD44" s="662"/>
      <c r="AE44" s="662"/>
      <c r="AF44" s="662"/>
      <c r="AG44" s="662"/>
      <c r="AH44" s="662"/>
      <c r="AI44" s="662"/>
      <c r="AJ44" s="663"/>
      <c r="AK44" s="489" t="s">
        <v>474</v>
      </c>
      <c r="AM44" s="128"/>
      <c r="AN44" s="128" t="str">
        <f t="shared" si="21"/>
        <v xml:space="preserve">Наименование признака дифференциации</v>
      </c>
      <c r="AO44" s="128"/>
      <c r="AP44" s="128"/>
    </row>
    <row r="45" ht="23.25" customHeight="1">
      <c r="A45" s="478" t="s">
        <v>214</v>
      </c>
      <c r="B45" s="478" t="s">
        <v>215</v>
      </c>
      <c r="C45" s="478" t="s">
        <v>216</v>
      </c>
      <c r="D45" s="478" t="s">
        <v>485</v>
      </c>
      <c r="E45" s="490"/>
      <c r="F45" s="490"/>
      <c r="G45" s="490"/>
      <c r="H45" s="490"/>
      <c r="I45" s="501"/>
      <c r="J45" s="167" t="str">
        <f>I44&amp;".1"</f>
        <v>...1.1</v>
      </c>
      <c r="K45" s="478"/>
      <c r="L45" s="480" t="s">
        <v>396</v>
      </c>
      <c r="P45" s="131"/>
      <c r="Q45" s="131">
        <v>1</v>
      </c>
      <c r="R45" s="502"/>
      <c r="S45" s="483" t="str">
        <f>$J45</f>
        <v>...1.1</v>
      </c>
      <c r="T45" s="503" t="s">
        <v>397</v>
      </c>
      <c r="U45" s="485"/>
      <c r="V45" s="430"/>
      <c r="W45" s="499"/>
      <c r="X45" s="499"/>
      <c r="Y45" s="499"/>
      <c r="Z45" s="499"/>
      <c r="AA45" s="499"/>
      <c r="AB45" s="500"/>
      <c r="AC45" s="430"/>
      <c r="AD45" s="499"/>
      <c r="AE45" s="499"/>
      <c r="AF45" s="499"/>
      <c r="AG45" s="499"/>
      <c r="AH45" s="499"/>
      <c r="AI45" s="499"/>
      <c r="AJ45" s="500"/>
      <c r="AK45" s="593" t="s">
        <v>475</v>
      </c>
      <c r="AM45" s="128"/>
      <c r="AN45" s="128" t="str">
        <f t="shared" si="21"/>
        <v xml:space="preserve">Группа потребителей</v>
      </c>
      <c r="AO45" s="128"/>
      <c r="AP45" s="128"/>
    </row>
    <row r="46" ht="23.25" customHeight="1">
      <c r="A46" s="478" t="s">
        <v>214</v>
      </c>
      <c r="B46" s="478" t="s">
        <v>215</v>
      </c>
      <c r="C46" s="478" t="s">
        <v>216</v>
      </c>
      <c r="D46" s="478" t="s">
        <v>485</v>
      </c>
      <c r="E46" s="490"/>
      <c r="F46" s="490"/>
      <c r="G46" s="490"/>
      <c r="H46" s="490"/>
      <c r="I46" s="501"/>
      <c r="J46" s="501"/>
      <c r="K46" s="167" t="str">
        <f>J45&amp;".1"</f>
        <v>...1.1.1</v>
      </c>
      <c r="L46" s="480"/>
      <c r="P46" s="131"/>
      <c r="Q46" s="131"/>
      <c r="R46" s="502">
        <v>1</v>
      </c>
      <c r="S46" s="483" t="str">
        <f>$K46</f>
        <v>...1.1.1</v>
      </c>
      <c r="T46" s="664"/>
      <c r="U46" s="485"/>
      <c r="V46" s="531"/>
      <c r="W46" s="531"/>
      <c r="X46" s="532"/>
      <c r="Y46" s="533"/>
      <c r="Z46" s="534" t="s">
        <v>56</v>
      </c>
      <c r="AA46" s="533"/>
      <c r="AB46" s="534" t="s">
        <v>56</v>
      </c>
      <c r="AC46" s="505"/>
      <c r="AD46" s="505"/>
      <c r="AE46" s="507"/>
      <c r="AF46" s="508"/>
      <c r="AG46" s="225" t="s">
        <v>56</v>
      </c>
      <c r="AH46" s="568"/>
      <c r="AI46" s="225" t="s">
        <v>54</v>
      </c>
      <c r="AJ46" s="665"/>
      <c r="AK46"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8"/>
      <c r="AN46" s="128" t="str">
        <f t="shared" si="21"/>
        <v/>
      </c>
      <c r="AO46" s="128"/>
      <c r="AP46" s="128"/>
    </row>
    <row r="47" ht="0" customHeight="1">
      <c r="A47" s="478" t="s">
        <v>214</v>
      </c>
      <c r="B47" s="478" t="s">
        <v>215</v>
      </c>
      <c r="C47" s="478" t="s">
        <v>216</v>
      </c>
      <c r="D47" s="478" t="s">
        <v>485</v>
      </c>
      <c r="E47" s="490"/>
      <c r="F47" s="490"/>
      <c r="G47" s="490"/>
      <c r="H47" s="490"/>
      <c r="I47" s="501"/>
      <c r="J47" s="501"/>
      <c r="K47" s="167"/>
      <c r="L47" s="480"/>
      <c r="P47" s="131"/>
      <c r="Q47" s="131"/>
      <c r="R47" s="502"/>
      <c r="S47" s="457"/>
      <c r="T47" s="485"/>
      <c r="U47" s="485"/>
      <c r="V47" s="531"/>
      <c r="W47" s="531"/>
      <c r="X47" s="510" t="str">
        <f>Y46&amp;"-"&amp;AA46</f>
        <v>-</v>
      </c>
      <c r="Y47" s="534"/>
      <c r="Z47" s="534"/>
      <c r="AA47" s="534"/>
      <c r="AB47" s="534"/>
      <c r="AC47" s="506"/>
      <c r="AD47" s="506"/>
      <c r="AE47" s="510" t="str">
        <f>AF46&amp;"-"&amp;AH46</f>
        <v>-</v>
      </c>
      <c r="AF47" s="511"/>
      <c r="AG47" s="225"/>
      <c r="AH47" s="570"/>
      <c r="AI47" s="225"/>
      <c r="AJ47" s="667"/>
      <c r="AK47" s="666"/>
      <c r="AM47" s="128"/>
      <c r="AN47" s="128" t="str">
        <f t="shared" si="21"/>
        <v/>
      </c>
      <c r="AO47" s="128"/>
      <c r="AP47" s="128"/>
    </row>
    <row r="48" ht="21" customHeight="1">
      <c r="A48" s="478" t="s">
        <v>214</v>
      </c>
      <c r="B48" s="478" t="s">
        <v>215</v>
      </c>
      <c r="C48" s="478" t="s">
        <v>216</v>
      </c>
      <c r="D48" s="478" t="s">
        <v>485</v>
      </c>
      <c r="E48" s="490"/>
      <c r="F48" s="490"/>
      <c r="G48" s="490"/>
      <c r="H48" s="490"/>
      <c r="I48" s="501"/>
      <c r="J48" s="167"/>
      <c r="K48" s="478"/>
      <c r="L48" s="480"/>
      <c r="P48" s="131"/>
      <c r="Q48" s="131"/>
      <c r="R48" s="497"/>
      <c r="S48" s="513"/>
      <c r="T48" s="517" t="s">
        <v>476</v>
      </c>
      <c r="U48" s="215"/>
      <c r="V48" s="215"/>
      <c r="W48" s="215"/>
      <c r="X48" s="215"/>
      <c r="Y48" s="215"/>
      <c r="Z48" s="215"/>
      <c r="AA48" s="215"/>
      <c r="AB48" s="215"/>
      <c r="AC48" s="215"/>
      <c r="AD48" s="215"/>
      <c r="AE48" s="215"/>
      <c r="AF48" s="215"/>
      <c r="AG48" s="215"/>
      <c r="AH48" s="215"/>
      <c r="AI48" s="215"/>
      <c r="AJ48" s="215"/>
      <c r="AK48" s="489" t="s">
        <v>477</v>
      </c>
      <c r="AM48" s="128"/>
      <c r="AN48" s="128" t="str">
        <f t="shared" si="21"/>
        <v xml:space="preserve">Добавить значение признака дифференциации</v>
      </c>
      <c r="AO48" s="128"/>
      <c r="AP48" s="128"/>
    </row>
    <row r="49" ht="21" customHeight="1">
      <c r="A49" s="478" t="s">
        <v>214</v>
      </c>
      <c r="B49" s="478" t="s">
        <v>215</v>
      </c>
      <c r="C49" s="478" t="s">
        <v>216</v>
      </c>
      <c r="D49" s="478" t="s">
        <v>485</v>
      </c>
      <c r="E49" s="490"/>
      <c r="F49" s="490"/>
      <c r="G49" s="490"/>
      <c r="H49" s="490"/>
      <c r="I49" s="167"/>
      <c r="J49" s="478"/>
      <c r="K49" s="478"/>
      <c r="L49" s="480"/>
      <c r="P49" s="131"/>
      <c r="Q49" s="131"/>
      <c r="R49" s="497"/>
      <c r="S49" s="513"/>
      <c r="T49" s="521" t="s">
        <v>402</v>
      </c>
      <c r="U49" s="215"/>
      <c r="V49" s="215"/>
      <c r="W49" s="215"/>
      <c r="X49" s="215"/>
      <c r="Y49" s="215"/>
      <c r="Z49" s="215"/>
      <c r="AA49" s="215"/>
      <c r="AB49" s="518"/>
      <c r="AC49" s="215"/>
      <c r="AD49" s="215"/>
      <c r="AE49" s="215"/>
      <c r="AF49" s="215"/>
      <c r="AG49" s="215"/>
      <c r="AH49" s="215"/>
      <c r="AI49" s="518"/>
      <c r="AJ49" s="215"/>
      <c r="AK49" s="668"/>
      <c r="AM49" s="128"/>
      <c r="AN49" s="128" t="str">
        <f t="shared" si="21"/>
        <v xml:space="preserve">Добавить группу потребителей</v>
      </c>
      <c r="AO49" s="128"/>
      <c r="AP49" s="128"/>
    </row>
    <row r="50" ht="21" customHeight="1">
      <c r="A50" s="478" t="s">
        <v>214</v>
      </c>
      <c r="B50" s="478" t="s">
        <v>215</v>
      </c>
      <c r="C50" s="478" t="s">
        <v>216</v>
      </c>
      <c r="D50" s="478" t="s">
        <v>485</v>
      </c>
      <c r="E50" s="490"/>
      <c r="F50" s="490"/>
      <c r="G50" s="490"/>
      <c r="H50" s="479"/>
      <c r="I50" s="478"/>
      <c r="J50" s="478"/>
      <c r="K50" s="478"/>
      <c r="L50" s="480"/>
      <c r="M50" s="481"/>
      <c r="N50" s="481"/>
      <c r="O50" s="53"/>
      <c r="P50" s="142"/>
      <c r="Q50" s="520"/>
      <c r="R50" s="482"/>
      <c r="S50" s="513"/>
      <c r="T50" s="669" t="s">
        <v>478</v>
      </c>
      <c r="U50" s="215"/>
      <c r="V50" s="215"/>
      <c r="W50" s="215"/>
      <c r="X50" s="215"/>
      <c r="Y50" s="215"/>
      <c r="Z50" s="215"/>
      <c r="AA50" s="215"/>
      <c r="AB50" s="518"/>
      <c r="AC50" s="215"/>
      <c r="AD50" s="215"/>
      <c r="AE50" s="215"/>
      <c r="AF50" s="215"/>
      <c r="AG50" s="215"/>
      <c r="AH50" s="215"/>
      <c r="AI50" s="518"/>
      <c r="AJ50" s="215"/>
      <c r="AK50" s="519"/>
      <c r="AM50" s="128"/>
      <c r="AN50" s="128" t="str">
        <f t="shared" si="21"/>
        <v xml:space="preserve">Добавить наименование признака дифференциации</v>
      </c>
      <c r="AO50" s="128"/>
      <c r="AP50" s="128"/>
    </row>
    <row r="51" s="57" customFormat="1" ht="0" customHeight="1">
      <c r="A51" s="132" t="s">
        <v>214</v>
      </c>
      <c r="B51" s="132" t="s">
        <v>215</v>
      </c>
      <c r="C51" s="132"/>
      <c r="D51" s="132"/>
      <c r="E51" s="490"/>
      <c r="F51" s="479"/>
      <c r="G51" s="132"/>
      <c r="H51" s="132"/>
      <c r="I51" s="132"/>
      <c r="J51" s="132"/>
      <c r="K51" s="132"/>
      <c r="L51" s="213"/>
      <c r="M51" s="526"/>
      <c r="N51" s="526"/>
      <c r="P51" s="166"/>
      <c r="Q51" s="522"/>
      <c r="R51" s="166"/>
      <c r="S51" s="527"/>
      <c r="T51" s="530" t="s">
        <v>405</v>
      </c>
      <c r="U51" s="529"/>
      <c r="V51" s="529"/>
      <c r="W51" s="529"/>
      <c r="X51" s="529"/>
      <c r="Y51" s="529"/>
      <c r="Z51" s="529"/>
      <c r="AA51" s="529"/>
      <c r="AB51" s="529"/>
      <c r="AC51" s="529"/>
      <c r="AD51" s="529"/>
      <c r="AE51" s="529"/>
      <c r="AF51" s="529"/>
      <c r="AG51" s="529"/>
      <c r="AH51" s="529"/>
      <c r="AI51" s="529"/>
      <c r="AJ51" s="529"/>
      <c r="AK51" s="529"/>
      <c r="AM51" s="128"/>
      <c r="AN51" s="128" t="str">
        <f t="shared" si="21"/>
        <v xml:space="preserve">Добавить централизованную систему для дифференциации</v>
      </c>
      <c r="AO51" s="128"/>
      <c r="AP51" s="128"/>
    </row>
    <row r="52" s="57" customFormat="1" ht="0" customHeight="1">
      <c r="A52" s="132" t="s">
        <v>214</v>
      </c>
      <c r="B52" s="132"/>
      <c r="C52" s="132"/>
      <c r="D52" s="132"/>
      <c r="E52" s="479"/>
      <c r="F52" s="132"/>
      <c r="G52" s="132"/>
      <c r="H52" s="132"/>
      <c r="I52" s="132"/>
      <c r="J52" s="132"/>
      <c r="K52" s="132"/>
      <c r="L52" s="213"/>
      <c r="M52" s="526"/>
      <c r="N52" s="526"/>
      <c r="O52" s="57"/>
      <c r="P52" s="166"/>
      <c r="Q52" s="522"/>
      <c r="R52" s="166"/>
      <c r="S52" s="527"/>
      <c r="T52" s="530" t="s">
        <v>406</v>
      </c>
      <c r="U52" s="529"/>
      <c r="V52" s="529"/>
      <c r="W52" s="529"/>
      <c r="X52" s="529"/>
      <c r="Y52" s="529"/>
      <c r="Z52" s="529"/>
      <c r="AA52" s="529"/>
      <c r="AB52" s="529"/>
      <c r="AC52" s="529"/>
      <c r="AD52" s="529"/>
      <c r="AE52" s="529"/>
      <c r="AF52" s="529"/>
      <c r="AG52" s="529"/>
      <c r="AH52" s="529"/>
      <c r="AI52" s="529"/>
      <c r="AJ52" s="529"/>
      <c r="AK52" s="529"/>
      <c r="AM52" s="128"/>
      <c r="AN52" s="128" t="str">
        <f t="shared" si="21"/>
        <v xml:space="preserve">Добавить территорию для дифференциации</v>
      </c>
      <c r="AO52" s="128"/>
      <c r="AP52" s="128"/>
    </row>
    <row r="53" s="57" customFormat="1" ht="0" customHeight="1">
      <c r="A53" s="132"/>
      <c r="B53" s="132"/>
      <c r="C53" s="132"/>
      <c r="D53" s="132"/>
      <c r="E53" s="132"/>
      <c r="F53" s="132"/>
      <c r="G53" s="132"/>
      <c r="H53" s="132"/>
      <c r="I53" s="132"/>
      <c r="J53" s="132"/>
      <c r="K53" s="132"/>
      <c r="L53" s="213"/>
      <c r="M53" s="526"/>
      <c r="N53" s="526"/>
      <c r="P53" s="166"/>
      <c r="Q53" s="522"/>
      <c r="R53" s="166"/>
      <c r="S53" s="527"/>
      <c r="T53" s="530" t="s">
        <v>438</v>
      </c>
      <c r="U53" s="529"/>
      <c r="V53" s="529"/>
      <c r="W53" s="529"/>
      <c r="X53" s="529"/>
      <c r="Y53" s="529"/>
      <c r="Z53" s="529"/>
      <c r="AA53" s="529"/>
      <c r="AB53" s="529"/>
      <c r="AC53" s="529"/>
      <c r="AD53" s="529"/>
      <c r="AE53" s="529"/>
      <c r="AF53" s="529"/>
      <c r="AG53" s="529"/>
      <c r="AH53" s="529"/>
      <c r="AI53" s="529"/>
      <c r="AJ53" s="529"/>
      <c r="AK53" s="529"/>
      <c r="AM53" s="128"/>
      <c r="AN53" s="128" t="str">
        <f t="shared" si="21"/>
        <v xml:space="preserve">Добавить наименование тарифа</v>
      </c>
      <c r="AO53" s="128"/>
      <c r="AP53" s="128"/>
    </row>
    <row r="54" ht="11.25" customHeight="1">
      <c r="M54" s="53"/>
      <c r="N54" s="53"/>
      <c r="O54" s="53"/>
      <c r="P54" s="50"/>
      <c r="Q54" s="50"/>
      <c r="R54" s="50"/>
      <c r="S54" s="50"/>
      <c r="AL54" s="50"/>
      <c r="AM54" s="50"/>
      <c r="AN54" s="50"/>
      <c r="AO54" s="50"/>
      <c r="AP54" s="50"/>
    </row>
    <row r="55" ht="14.25" customHeight="1">
      <c r="O55" s="53"/>
      <c r="S55" s="475"/>
      <c r="T55" s="572"/>
      <c r="U55" s="572"/>
      <c r="V55" s="572"/>
      <c r="W55" s="572"/>
      <c r="X55" s="572"/>
      <c r="Y55" s="572"/>
      <c r="Z55" s="572"/>
      <c r="AA55" s="572"/>
      <c r="AB55" s="572"/>
      <c r="AC55" s="572"/>
      <c r="AD55" s="572"/>
      <c r="AE55" s="572"/>
      <c r="AF55" s="572"/>
      <c r="AG55" s="572"/>
      <c r="AH55" s="572"/>
      <c r="AI55" s="572"/>
      <c r="AJ55" s="572"/>
      <c r="AK55" s="572"/>
    </row>
    <row r="56" ht="14.25" customHeight="1">
      <c r="O56" s="53"/>
    </row>
    <row r="57" ht="14.25" customHeight="1">
      <c r="O57" s="53"/>
      <c r="S57" s="475"/>
      <c r="T57" s="572"/>
      <c r="U57" s="572"/>
      <c r="V57" s="572"/>
      <c r="W57" s="572"/>
      <c r="X57" s="572"/>
      <c r="Y57" s="572"/>
      <c r="Z57" s="572"/>
      <c r="AA57" s="572"/>
      <c r="AB57" s="572"/>
      <c r="AC57" s="572"/>
      <c r="AD57" s="572"/>
      <c r="AE57" s="572"/>
      <c r="AF57" s="572"/>
      <c r="AG57" s="572"/>
      <c r="AH57" s="572"/>
      <c r="AI57" s="572"/>
      <c r="AJ57" s="572"/>
      <c r="AK57" s="572"/>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CE0089-00C2-4274-B2CF-00EB00CF0020}"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E600BC-008F-4D10-B141-000D00D60026}"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8500CA-00F4-47F6-9A72-00E100C40045}"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CA0027-004B-4B31-BDDE-001300DE0092}"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7109375"/>
    <col customWidth="1" min="17" max="18" style="477" width="3.7109375"/>
    <col customWidth="1" min="19" max="19" style="322" width="12.7109375"/>
    <col customWidth="1" min="20" max="20" style="50" width="35.710937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31" style="50" width="24.7109375"/>
    <col customWidth="1" min="32" max="32" style="50" width="11.7109375"/>
    <col customWidth="1" min="33" max="33" style="50" width="3.7109375"/>
    <col customWidth="1" min="34" max="34" style="50" width="11.7109375"/>
    <col customWidth="1" hidden="1" min="35" max="35" style="50" width="8.57421875"/>
    <col customWidth="1" min="36" max="36" style="50" width="4.7109375"/>
    <col customWidth="1" min="37" max="37" style="50" width="115.7109375"/>
    <col min="38" max="39" style="57" width="10.57421875"/>
    <col customWidth="1" min="40" max="40" style="57" width="11.140625"/>
    <col min="41" max="42" style="57" width="10.57421875"/>
  </cols>
  <sheetData>
    <row r="1" ht="14.25" hidden="1" customHeight="1">
      <c r="X1" s="50"/>
      <c r="Y1" s="50"/>
      <c r="AE1" s="50"/>
      <c r="AF1" s="50"/>
    </row>
    <row r="2" ht="23.25"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8"/>
      <c r="AC2" s="486" t="e">
        <f>INDEX(PT_DIFFERENTIATION_NTAR,MATCH(A2,PT_DIFFERENTIATION_NTAR_ID,0))</f>
        <v>#VALUE!</v>
      </c>
      <c r="AD2" s="487"/>
      <c r="AE2" s="487"/>
      <c r="AF2" s="487"/>
      <c r="AG2" s="487"/>
      <c r="AH2" s="487"/>
      <c r="AI2" s="487"/>
      <c r="AJ2" s="488"/>
      <c r="AK2"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8"/>
      <c r="AN2" s="128" t="str">
        <f t="shared" ref="AN2:AN9" si="22">IF(T2="","",T2)</f>
        <v xml:space="preserve">Наименование тарифа</v>
      </c>
      <c r="AO2" s="128"/>
      <c r="AP2" s="128"/>
    </row>
    <row r="3" ht="23.25"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8"/>
      <c r="AC3" s="486" t="e">
        <f>INDEX(PT_DIFFERENTIATION_TER,MATCH(B3,PT_DIFFERENTIATION_TER_ID,0))</f>
        <v>#VALUE!</v>
      </c>
      <c r="AD3" s="487"/>
      <c r="AE3" s="487"/>
      <c r="AF3" s="487"/>
      <c r="AG3" s="487"/>
      <c r="AH3" s="487"/>
      <c r="AI3" s="487"/>
      <c r="AJ3" s="488"/>
      <c r="AK3" s="489" t="s">
        <v>388</v>
      </c>
      <c r="AM3" s="128"/>
      <c r="AN3" s="128" t="str">
        <f t="shared" si="22"/>
        <v xml:space="preserve">Территория действия тарифа</v>
      </c>
      <c r="AO3" s="128"/>
      <c r="AP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471</v>
      </c>
      <c r="U4" s="485"/>
      <c r="V4" s="486"/>
      <c r="W4" s="487"/>
      <c r="X4" s="487"/>
      <c r="Y4" s="487"/>
      <c r="Z4" s="487"/>
      <c r="AA4" s="487"/>
      <c r="AB4" s="488"/>
      <c r="AC4" s="486" t="e">
        <f>INDEX(PT_DIFFERENTIATION_CS,MATCH(C4,PT_DIFFERENTIATION_CS_ID,0))</f>
        <v>#VALUE!</v>
      </c>
      <c r="AD4" s="487"/>
      <c r="AE4" s="487"/>
      <c r="AF4" s="487"/>
      <c r="AG4" s="487"/>
      <c r="AH4" s="487"/>
      <c r="AI4" s="487"/>
      <c r="AJ4" s="488"/>
      <c r="AK4" s="489" t="s">
        <v>472</v>
      </c>
      <c r="AM4" s="128"/>
      <c r="AN4" s="128" t="str">
        <f t="shared" si="22"/>
        <v xml:space="preserve">Наименование централизованной системы холодного водоснабжения</v>
      </c>
      <c r="AO4" s="128"/>
      <c r="AP4" s="128"/>
    </row>
    <row r="5" ht="23.25" hidden="1" customHeight="1">
      <c r="A5" s="478"/>
      <c r="B5" s="478"/>
      <c r="C5" s="478"/>
      <c r="D5" s="478"/>
      <c r="E5" s="490"/>
      <c r="F5" s="490"/>
      <c r="G5" s="490"/>
      <c r="H5" s="490"/>
      <c r="I5" s="167" t="e">
        <f>S4&amp;".1"</f>
        <v>#VALUE!</v>
      </c>
      <c r="J5" s="478"/>
      <c r="K5" s="478"/>
      <c r="L5" s="480"/>
      <c r="P5" s="131">
        <v>1</v>
      </c>
      <c r="Q5" s="131"/>
      <c r="R5" s="497"/>
      <c r="S5" s="483" t="e">
        <f>$I5</f>
        <v>#VALUE!</v>
      </c>
      <c r="T5" s="498" t="s">
        <v>473</v>
      </c>
      <c r="U5" s="485"/>
      <c r="V5" s="658"/>
      <c r="W5" s="659"/>
      <c r="X5" s="659"/>
      <c r="Y5" s="659"/>
      <c r="Z5" s="659"/>
      <c r="AA5" s="659"/>
      <c r="AB5" s="660"/>
      <c r="AC5" s="661"/>
      <c r="AD5" s="662"/>
      <c r="AE5" s="662"/>
      <c r="AF5" s="662"/>
      <c r="AG5" s="662"/>
      <c r="AH5" s="662"/>
      <c r="AI5" s="662"/>
      <c r="AJ5" s="663"/>
      <c r="AK5" s="489" t="s">
        <v>474</v>
      </c>
      <c r="AM5" s="128"/>
      <c r="AN5" s="128" t="str">
        <f t="shared" si="22"/>
        <v xml:space="preserve">Наименование признака дифференциации</v>
      </c>
      <c r="AO5" s="128"/>
      <c r="AP5" s="128"/>
    </row>
    <row r="6" ht="23.25" hidden="1" customHeight="1">
      <c r="A6" s="478"/>
      <c r="B6" s="478"/>
      <c r="C6" s="478"/>
      <c r="D6" s="478"/>
      <c r="E6" s="490"/>
      <c r="F6" s="490"/>
      <c r="G6" s="490"/>
      <c r="H6" s="490"/>
      <c r="I6" s="501"/>
      <c r="J6" s="167" t="e">
        <f>I5&amp;".1"</f>
        <v>#VALUE!</v>
      </c>
      <c r="K6" s="478"/>
      <c r="L6" s="480" t="s">
        <v>396</v>
      </c>
      <c r="P6" s="131"/>
      <c r="Q6" s="131">
        <v>1</v>
      </c>
      <c r="R6" s="502"/>
      <c r="S6" s="483" t="e">
        <f>$J6</f>
        <v>#VALUE!</v>
      </c>
      <c r="T6" s="503" t="s">
        <v>397</v>
      </c>
      <c r="U6" s="485"/>
      <c r="V6" s="430"/>
      <c r="W6" s="499"/>
      <c r="X6" s="499"/>
      <c r="Y6" s="499"/>
      <c r="Z6" s="499"/>
      <c r="AA6" s="499"/>
      <c r="AB6" s="500"/>
      <c r="AC6" s="430"/>
      <c r="AD6" s="499"/>
      <c r="AE6" s="499"/>
      <c r="AF6" s="499"/>
      <c r="AG6" s="499"/>
      <c r="AH6" s="499"/>
      <c r="AI6" s="499"/>
      <c r="AJ6" s="500"/>
      <c r="AK6" s="593" t="s">
        <v>475</v>
      </c>
      <c r="AM6" s="128"/>
      <c r="AN6" s="128" t="str">
        <f t="shared" si="22"/>
        <v xml:space="preserve">Группа потребителей</v>
      </c>
      <c r="AO6" s="128"/>
      <c r="AP6" s="128"/>
    </row>
    <row r="7" ht="23.25" hidden="1" customHeight="1">
      <c r="A7" s="478"/>
      <c r="B7" s="478"/>
      <c r="C7" s="478"/>
      <c r="D7" s="478"/>
      <c r="E7" s="490"/>
      <c r="F7" s="490"/>
      <c r="G7" s="490"/>
      <c r="H7" s="490"/>
      <c r="I7" s="501"/>
      <c r="J7" s="501"/>
      <c r="K7" s="167" t="e">
        <f>J6&amp;".1"</f>
        <v>#VALUE!</v>
      </c>
      <c r="L7" s="480"/>
      <c r="P7" s="131"/>
      <c r="Q7" s="131"/>
      <c r="R7" s="502">
        <v>1</v>
      </c>
      <c r="S7" s="483" t="e">
        <f>$K7</f>
        <v>#VALUE!</v>
      </c>
      <c r="T7" s="664"/>
      <c r="U7" s="485"/>
      <c r="V7" s="505"/>
      <c r="W7" s="505"/>
      <c r="X7" s="507"/>
      <c r="Y7" s="508"/>
      <c r="Z7" s="225" t="s">
        <v>56</v>
      </c>
      <c r="AA7" s="508"/>
      <c r="AB7" s="225" t="s">
        <v>56</v>
      </c>
      <c r="AC7" s="505"/>
      <c r="AD7" s="505"/>
      <c r="AE7" s="507"/>
      <c r="AF7" s="508"/>
      <c r="AG7" s="225" t="s">
        <v>56</v>
      </c>
      <c r="AH7" s="568"/>
      <c r="AI7" s="225" t="s">
        <v>56</v>
      </c>
      <c r="AJ7" s="665"/>
      <c r="AK7"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8"/>
      <c r="AN7" s="128" t="str">
        <f t="shared" si="22"/>
        <v/>
      </c>
      <c r="AO7" s="128"/>
      <c r="AP7" s="128"/>
    </row>
    <row r="8" ht="14.25" hidden="1" customHeight="1">
      <c r="A8" s="478"/>
      <c r="B8" s="478"/>
      <c r="C8" s="478"/>
      <c r="D8" s="478"/>
      <c r="E8" s="490"/>
      <c r="F8" s="490"/>
      <c r="G8" s="490"/>
      <c r="H8" s="490"/>
      <c r="I8" s="501"/>
      <c r="J8" s="501"/>
      <c r="K8" s="167"/>
      <c r="L8" s="480"/>
      <c r="P8" s="131"/>
      <c r="Q8" s="131"/>
      <c r="R8" s="502"/>
      <c r="S8" s="457"/>
      <c r="T8" s="485"/>
      <c r="U8" s="485"/>
      <c r="V8" s="506"/>
      <c r="W8" s="506"/>
      <c r="X8" s="510" t="str">
        <f>Y7&amp;"-"&amp;AA7</f>
        <v>-</v>
      </c>
      <c r="Y8" s="511"/>
      <c r="Z8" s="225"/>
      <c r="AA8" s="511"/>
      <c r="AB8" s="225"/>
      <c r="AC8" s="506"/>
      <c r="AD8" s="506"/>
      <c r="AE8" s="510" t="str">
        <f>AF7&amp;"-"&amp;AH7</f>
        <v>-</v>
      </c>
      <c r="AF8" s="511"/>
      <c r="AG8" s="225"/>
      <c r="AH8" s="570"/>
      <c r="AI8" s="225"/>
      <c r="AJ8" s="667"/>
      <c r="AK8" s="666"/>
      <c r="AM8" s="128"/>
      <c r="AN8" s="128" t="str">
        <f t="shared" si="22"/>
        <v/>
      </c>
      <c r="AO8" s="128"/>
      <c r="AP8" s="128"/>
    </row>
    <row r="9" ht="21" hidden="1" customHeight="1">
      <c r="A9" s="478"/>
      <c r="B9" s="478"/>
      <c r="C9" s="478"/>
      <c r="D9" s="478"/>
      <c r="E9" s="490"/>
      <c r="F9" s="490"/>
      <c r="G9" s="490"/>
      <c r="H9" s="490"/>
      <c r="I9" s="501"/>
      <c r="J9" s="167"/>
      <c r="K9" s="478"/>
      <c r="L9" s="480"/>
      <c r="P9" s="131"/>
      <c r="Q9" s="131"/>
      <c r="R9" s="497"/>
      <c r="S9" s="513"/>
      <c r="T9" s="517" t="s">
        <v>476</v>
      </c>
      <c r="U9" s="215"/>
      <c r="V9" s="215"/>
      <c r="W9" s="215"/>
      <c r="X9" s="215"/>
      <c r="Y9" s="215"/>
      <c r="Z9" s="215"/>
      <c r="AA9" s="215"/>
      <c r="AB9" s="215"/>
      <c r="AC9" s="215"/>
      <c r="AD9" s="215"/>
      <c r="AE9" s="215"/>
      <c r="AF9" s="215"/>
      <c r="AG9" s="215"/>
      <c r="AH9" s="215"/>
      <c r="AI9" s="215"/>
      <c r="AJ9" s="215"/>
      <c r="AK9" s="489" t="s">
        <v>477</v>
      </c>
      <c r="AM9" s="128"/>
      <c r="AN9" s="128" t="str">
        <f t="shared" si="22"/>
        <v xml:space="preserve">Добавить значение признака дифференциации</v>
      </c>
      <c r="AO9" s="128"/>
      <c r="AP9" s="128"/>
    </row>
    <row r="10" ht="21" hidden="1" customHeight="1">
      <c r="A10" s="478"/>
      <c r="B10" s="478"/>
      <c r="C10" s="478"/>
      <c r="D10" s="478"/>
      <c r="E10" s="490"/>
      <c r="F10" s="490"/>
      <c r="G10" s="490"/>
      <c r="H10" s="490"/>
      <c r="I10" s="167"/>
      <c r="J10" s="478"/>
      <c r="K10" s="478"/>
      <c r="L10" s="480"/>
      <c r="P10" s="131"/>
      <c r="Q10" s="131"/>
      <c r="R10" s="497"/>
      <c r="S10" s="513"/>
      <c r="T10" s="521" t="s">
        <v>402</v>
      </c>
      <c r="U10" s="215"/>
      <c r="V10" s="215"/>
      <c r="W10" s="215"/>
      <c r="X10" s="215"/>
      <c r="Y10" s="215"/>
      <c r="Z10" s="215"/>
      <c r="AA10" s="215"/>
      <c r="AB10" s="518"/>
      <c r="AC10" s="215"/>
      <c r="AD10" s="215"/>
      <c r="AE10" s="215"/>
      <c r="AF10" s="215"/>
      <c r="AG10" s="215"/>
      <c r="AH10" s="215"/>
      <c r="AI10" s="518"/>
      <c r="AJ10" s="215"/>
      <c r="AK10" s="668"/>
      <c r="AM10" s="128"/>
      <c r="AN10" s="128" t="str">
        <f t="shared" ref="AN10:AN53" si="23">IF(T10="","",T10)</f>
        <v xml:space="preserve">Добавить группу потребителей</v>
      </c>
      <c r="AO10" s="128"/>
      <c r="AP10" s="128"/>
    </row>
    <row r="11" ht="21" hidden="1" customHeight="1">
      <c r="A11" s="478"/>
      <c r="B11" s="478"/>
      <c r="C11" s="478"/>
      <c r="D11" s="478"/>
      <c r="E11" s="490"/>
      <c r="F11" s="490"/>
      <c r="G11" s="490"/>
      <c r="H11" s="479"/>
      <c r="I11" s="478"/>
      <c r="J11" s="478"/>
      <c r="K11" s="478"/>
      <c r="L11" s="480"/>
      <c r="M11" s="481"/>
      <c r="N11" s="481"/>
      <c r="O11" s="53"/>
      <c r="P11" s="142"/>
      <c r="Q11" s="520"/>
      <c r="R11" s="482"/>
      <c r="S11" s="513"/>
      <c r="T11" s="669" t="s">
        <v>478</v>
      </c>
      <c r="U11" s="215"/>
      <c r="V11" s="215"/>
      <c r="W11" s="215"/>
      <c r="X11" s="215"/>
      <c r="Y11" s="215"/>
      <c r="Z11" s="215"/>
      <c r="AA11" s="215"/>
      <c r="AB11" s="518"/>
      <c r="AC11" s="215"/>
      <c r="AD11" s="215"/>
      <c r="AE11" s="215"/>
      <c r="AF11" s="215"/>
      <c r="AG11" s="215"/>
      <c r="AH11" s="215"/>
      <c r="AI11" s="518"/>
      <c r="AJ11" s="215"/>
      <c r="AK11" s="519"/>
      <c r="AM11" s="128"/>
      <c r="AN11" s="128" t="str">
        <f t="shared" si="23"/>
        <v xml:space="preserve">Добавить наименование признака дифференциации</v>
      </c>
      <c r="AO11" s="128"/>
      <c r="AP11" s="128"/>
    </row>
    <row r="12" s="57" customFormat="1" ht="14.25" hidden="1" customHeight="1">
      <c r="A12" s="132"/>
      <c r="B12" s="132"/>
      <c r="C12" s="132"/>
      <c r="D12" s="132"/>
      <c r="E12" s="490"/>
      <c r="F12" s="479"/>
      <c r="G12" s="132"/>
      <c r="H12" s="132"/>
      <c r="I12" s="132"/>
      <c r="J12" s="132"/>
      <c r="K12" s="132"/>
      <c r="L12" s="213"/>
      <c r="M12" s="526"/>
      <c r="N12" s="526"/>
      <c r="P12" s="166"/>
      <c r="Q12" s="522"/>
      <c r="R12" s="166"/>
      <c r="S12" s="527"/>
      <c r="T12" s="530" t="s">
        <v>405</v>
      </c>
      <c r="U12" s="529"/>
      <c r="V12" s="529"/>
      <c r="W12" s="529"/>
      <c r="X12" s="529"/>
      <c r="Y12" s="529"/>
      <c r="Z12" s="529"/>
      <c r="AA12" s="529"/>
      <c r="AB12" s="529"/>
      <c r="AC12" s="529"/>
      <c r="AD12" s="529"/>
      <c r="AE12" s="529"/>
      <c r="AF12" s="529"/>
      <c r="AG12" s="529"/>
      <c r="AH12" s="529"/>
      <c r="AI12" s="529"/>
      <c r="AJ12" s="529"/>
      <c r="AK12" s="529"/>
      <c r="AM12" s="128"/>
      <c r="AN12" s="128" t="str">
        <f t="shared" si="23"/>
        <v xml:space="preserve">Добавить централизованную систему для дифференциации</v>
      </c>
      <c r="AO12" s="128"/>
      <c r="AP12" s="128"/>
    </row>
    <row r="13" s="57" customFormat="1" ht="14.25" hidden="1" customHeight="1">
      <c r="A13" s="132"/>
      <c r="B13" s="132"/>
      <c r="C13" s="132"/>
      <c r="D13" s="132"/>
      <c r="E13" s="479"/>
      <c r="F13" s="132"/>
      <c r="G13" s="132"/>
      <c r="H13" s="132"/>
      <c r="I13" s="132"/>
      <c r="J13" s="132"/>
      <c r="K13" s="132"/>
      <c r="L13" s="213"/>
      <c r="M13" s="526"/>
      <c r="N13" s="526"/>
      <c r="O13" s="57"/>
      <c r="P13" s="166"/>
      <c r="Q13" s="522"/>
      <c r="R13" s="166"/>
      <c r="S13" s="527"/>
      <c r="T13" s="530" t="s">
        <v>406</v>
      </c>
      <c r="U13" s="529"/>
      <c r="V13" s="529"/>
      <c r="W13" s="529"/>
      <c r="X13" s="529"/>
      <c r="Y13" s="529"/>
      <c r="Z13" s="529"/>
      <c r="AA13" s="529"/>
      <c r="AB13" s="529"/>
      <c r="AC13" s="529"/>
      <c r="AD13" s="529"/>
      <c r="AE13" s="529"/>
      <c r="AF13" s="529"/>
      <c r="AG13" s="529"/>
      <c r="AH13" s="529"/>
      <c r="AI13" s="529"/>
      <c r="AJ13" s="529"/>
      <c r="AK13" s="529"/>
      <c r="AM13" s="128"/>
      <c r="AN13" s="128" t="str">
        <f t="shared" si="23"/>
        <v xml:space="preserve">Добавить территорию для дифференциации</v>
      </c>
      <c r="AO13" s="128"/>
      <c r="AP13" s="128"/>
    </row>
    <row r="14" ht="14.25" hidden="1" customHeight="1">
      <c r="AB14" s="50"/>
      <c r="AI14" s="50"/>
    </row>
    <row r="15" ht="14.25" hidden="1" customHeight="1">
      <c r="AC15" s="531"/>
      <c r="AD15" s="531"/>
      <c r="AE15" s="532"/>
      <c r="AF15" s="533"/>
      <c r="AG15" s="534" t="s">
        <v>56</v>
      </c>
      <c r="AH15" s="533"/>
      <c r="AI15" s="534" t="s">
        <v>56</v>
      </c>
    </row>
    <row r="16" ht="14.25" hidden="1" customHeight="1">
      <c r="AC16" s="531"/>
      <c r="AD16" s="531"/>
      <c r="AE16" s="510" t="str">
        <f>AF15&amp;"-"&amp;AH15</f>
        <v>-</v>
      </c>
      <c r="AF16" s="534"/>
      <c r="AG16" s="534"/>
      <c r="AH16" s="534"/>
      <c r="AI16" s="534"/>
    </row>
    <row r="17" ht="14.25" hidden="1" customHeight="1">
      <c r="AI17" s="50"/>
    </row>
    <row r="18" s="53" customFormat="1" ht="22.5" hidden="1" customHeight="1">
      <c r="L18" s="113"/>
      <c r="M18" s="61"/>
      <c r="N18" s="61"/>
      <c r="O18" s="535" t="s">
        <v>407</v>
      </c>
      <c r="P18" s="61"/>
      <c r="Q18" s="536"/>
      <c r="R18" s="536"/>
      <c r="S18" s="481"/>
      <c r="Y18" s="535"/>
      <c r="AA18" s="535"/>
      <c r="AB18" s="53"/>
      <c r="AF18" s="535"/>
      <c r="AH18" s="535"/>
      <c r="AI18" s="53"/>
      <c r="AL18" s="57"/>
      <c r="AM18" s="57"/>
      <c r="AN18" s="57"/>
      <c r="AO18" s="57"/>
      <c r="AP18" s="57"/>
    </row>
    <row r="19" s="53" customFormat="1" ht="14.25" hidden="1" customHeight="1">
      <c r="L19" s="113"/>
      <c r="M19" s="61"/>
      <c r="N19" s="61"/>
      <c r="O19" s="61"/>
      <c r="P19" s="61"/>
      <c r="Q19" s="536"/>
      <c r="R19" s="536"/>
      <c r="S19" s="481"/>
      <c r="AB19" s="53"/>
      <c r="AI19" s="53"/>
      <c r="AL19" s="57"/>
      <c r="AM19" s="57"/>
      <c r="AN19" s="57"/>
      <c r="AO19" s="57"/>
      <c r="AP19" s="57"/>
    </row>
    <row r="20" s="53" customFormat="1" ht="12" hidden="1" customHeight="1">
      <c r="L20" s="113"/>
      <c r="M20" s="61"/>
      <c r="N20" s="61"/>
      <c r="O20" s="480" t="s">
        <v>408</v>
      </c>
      <c r="P20" s="61"/>
      <c r="Q20" s="670"/>
      <c r="R20" s="670"/>
      <c r="S20" s="481"/>
      <c r="T20" s="53" t="s">
        <v>409</v>
      </c>
      <c r="Z20" s="150" t="s">
        <v>410</v>
      </c>
      <c r="AB20" s="150" t="s">
        <v>411</v>
      </c>
      <c r="AC20" s="53" t="s">
        <v>409</v>
      </c>
      <c r="AG20" s="150" t="s">
        <v>412</v>
      </c>
      <c r="AI20" s="150" t="s">
        <v>411</v>
      </c>
    </row>
    <row r="21" ht="14.25" hidden="1" customHeight="1">
      <c r="O21" s="480"/>
    </row>
    <row r="22" ht="14.25" hidden="1" customHeight="1">
      <c r="O22" s="480"/>
    </row>
    <row r="23" ht="14.25" customHeight="1">
      <c r="Q23" s="537"/>
      <c r="R23" s="537"/>
      <c r="S23" s="538"/>
      <c r="T23" s="89"/>
      <c r="U23" s="89"/>
      <c r="V23" s="50"/>
      <c r="W23" s="50"/>
      <c r="X23" s="50"/>
      <c r="Y23" s="50"/>
      <c r="Z23" s="50"/>
      <c r="AA23" s="50"/>
      <c r="AB23" s="50"/>
      <c r="AC23" s="50"/>
      <c r="AD23" s="50"/>
      <c r="AE23" s="50"/>
      <c r="AF23" s="50"/>
      <c r="AG23" s="50"/>
      <c r="AH23" s="50"/>
      <c r="AI23" s="50"/>
    </row>
    <row r="24" ht="14.25" customHeight="1">
      <c r="Q24" s="537"/>
      <c r="R24" s="537"/>
      <c r="S24" s="45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51"/>
      <c r="U24" s="451"/>
      <c r="V24" s="451"/>
      <c r="W24" s="451"/>
      <c r="X24" s="451"/>
      <c r="Y24" s="451"/>
      <c r="Z24" s="451"/>
      <c r="AA24" s="451"/>
      <c r="AB24" s="451"/>
      <c r="AC24" s="451"/>
      <c r="AD24" s="451"/>
      <c r="AE24" s="451"/>
      <c r="AF24" s="451"/>
      <c r="AG24" s="451"/>
      <c r="AH24" s="451"/>
      <c r="AI24" s="241"/>
    </row>
    <row r="25" ht="14.25" customHeight="1">
      <c r="Q25" s="537"/>
      <c r="R25" s="537"/>
      <c r="S25" s="302" t="str">
        <f>IF(org=0,"Не определено",org)</f>
        <v xml:space="preserve">филиал ПАО "ОГК-2" - Адлерская ТЭС</v>
      </c>
      <c r="T25" s="302"/>
      <c r="U25" s="302"/>
      <c r="V25" s="302"/>
      <c r="W25" s="302"/>
      <c r="X25" s="302"/>
      <c r="Y25" s="302"/>
      <c r="Z25" s="302"/>
      <c r="AA25" s="302"/>
      <c r="AB25" s="302"/>
      <c r="AC25" s="302"/>
      <c r="AD25" s="302"/>
      <c r="AE25" s="302"/>
      <c r="AF25" s="302"/>
      <c r="AG25" s="302"/>
      <c r="AH25" s="302"/>
      <c r="AI25" s="241"/>
    </row>
    <row r="26" ht="14.25" hidden="1" customHeight="1">
      <c r="Q26" s="537"/>
      <c r="R26" s="537"/>
      <c r="S26" s="538"/>
      <c r="T26" s="89"/>
      <c r="U26" s="89"/>
      <c r="V26" s="539"/>
      <c r="W26" s="539"/>
      <c r="X26" s="539"/>
      <c r="Y26" s="539"/>
      <c r="Z26" s="539"/>
      <c r="AA26" s="539"/>
      <c r="AB26" s="539"/>
      <c r="AC26" s="539"/>
      <c r="AD26" s="539"/>
      <c r="AE26" s="539"/>
      <c r="AF26" s="539"/>
      <c r="AG26" s="539"/>
      <c r="AH26" s="539"/>
      <c r="AI26" s="539"/>
      <c r="AJ26" s="50"/>
    </row>
    <row r="27" s="185" customFormat="1" ht="25.5" hidden="1" customHeight="1">
      <c r="A27" s="150"/>
      <c r="B27" s="150"/>
      <c r="C27" s="150"/>
      <c r="D27" s="150"/>
      <c r="E27" s="150"/>
      <c r="F27" s="150"/>
      <c r="G27" s="150"/>
      <c r="H27" s="150"/>
      <c r="I27" s="150"/>
      <c r="J27" s="150"/>
      <c r="K27" s="150"/>
      <c r="L27" s="480"/>
      <c r="M27" s="150"/>
      <c r="N27" s="150"/>
      <c r="O27" s="150"/>
      <c r="S27" s="540" t="s">
        <v>38</v>
      </c>
      <c r="T27" s="540"/>
      <c r="U27" s="541"/>
      <c r="V27" s="542" t="str">
        <f>IF(TITLE_NAME_OR_PR_CHANGE="",IF(TITLE_NAME_OR_PR="","",TITLE_NAME_OR_PR),TITLE_NAME_OR_PR_CHANGE)</f>
        <v/>
      </c>
      <c r="W27" s="542"/>
      <c r="X27" s="542"/>
      <c r="Y27" s="542"/>
      <c r="Z27" s="542"/>
      <c r="AA27" s="542"/>
      <c r="AB27" s="50"/>
      <c r="AC27" s="542" t="str">
        <f>IF(TITLE_NAME_OR_PR_CHANGE="",IF(TITLE_NAME_OR_PR="","",TITLE_NAME_OR_PR),TITLE_NAME_OR_PR_CHANGE)</f>
        <v/>
      </c>
      <c r="AD27" s="542"/>
      <c r="AE27" s="542"/>
      <c r="AF27" s="542"/>
      <c r="AG27" s="542"/>
      <c r="AH27" s="542"/>
      <c r="AI27" s="50"/>
      <c r="AJ27" s="50"/>
      <c r="AK27" s="543"/>
      <c r="AL27" s="128"/>
      <c r="AM27" s="128"/>
      <c r="AN27" s="128"/>
      <c r="AO27" s="128"/>
      <c r="AP27" s="128"/>
    </row>
    <row r="28" s="185" customFormat="1" ht="18.75" hidden="1" customHeight="1">
      <c r="A28" s="150"/>
      <c r="B28" s="150"/>
      <c r="C28" s="150"/>
      <c r="D28" s="150"/>
      <c r="E28" s="150"/>
      <c r="F28" s="150"/>
      <c r="G28" s="150"/>
      <c r="H28" s="150"/>
      <c r="I28" s="150"/>
      <c r="J28" s="150"/>
      <c r="K28" s="150"/>
      <c r="L28" s="480"/>
      <c r="M28" s="150"/>
      <c r="N28" s="150"/>
      <c r="O28" s="150"/>
      <c r="S28" s="540" t="s">
        <v>413</v>
      </c>
      <c r="T28" s="540"/>
      <c r="U28" s="541"/>
      <c r="V28" s="544" t="str">
        <f>IF(TITLE_DATE_PR_CHANGE="",IF(TITLE_DATE_PR="","",TITLE_DATE_PR),TITLE_DATE_PR_CHANGE)</f>
        <v/>
      </c>
      <c r="W28" s="544"/>
      <c r="X28" s="544"/>
      <c r="Y28" s="544"/>
      <c r="Z28" s="544"/>
      <c r="AA28" s="544"/>
      <c r="AB28" s="50"/>
      <c r="AC28" s="544" t="str">
        <f>IF(TITLE_DATE_PR_CHANGE="",IF(TITLE_DATE_PR="","",TITLE_DATE_PR),TITLE_DATE_PR_CHANGE)</f>
        <v/>
      </c>
      <c r="AD28" s="544"/>
      <c r="AE28" s="544"/>
      <c r="AF28" s="544"/>
      <c r="AG28" s="544"/>
      <c r="AH28" s="544"/>
      <c r="AI28" s="50"/>
      <c r="AJ28" s="50"/>
      <c r="AK28" s="543"/>
      <c r="AL28" s="128"/>
      <c r="AM28" s="128"/>
      <c r="AN28" s="128"/>
      <c r="AO28" s="128"/>
      <c r="AP28" s="128"/>
    </row>
    <row r="29" s="185" customFormat="1" ht="18.75" hidden="1" customHeight="1">
      <c r="A29" s="150"/>
      <c r="B29" s="150"/>
      <c r="C29" s="150"/>
      <c r="D29" s="150"/>
      <c r="E29" s="150"/>
      <c r="F29" s="150"/>
      <c r="G29" s="150"/>
      <c r="H29" s="150"/>
      <c r="I29" s="150"/>
      <c r="J29" s="150"/>
      <c r="K29" s="150"/>
      <c r="L29" s="480"/>
      <c r="M29" s="150"/>
      <c r="N29" s="150"/>
      <c r="O29" s="150"/>
      <c r="S29" s="540" t="s">
        <v>414</v>
      </c>
      <c r="T29" s="540"/>
      <c r="U29" s="541"/>
      <c r="V29" s="542" t="str">
        <f>IF(TITLE_NUMBER_PR_CHANGE="",IF(TITLE_NUMBER_PR="","",TITLE_NUMBER_PR),TITLE_NUMBER_PR_CHANGE)</f>
        <v/>
      </c>
      <c r="W29" s="542"/>
      <c r="X29" s="542"/>
      <c r="Y29" s="542"/>
      <c r="Z29" s="542"/>
      <c r="AA29" s="542"/>
      <c r="AB29" s="50"/>
      <c r="AC29" s="542" t="str">
        <f>IF(TITLE_NUMBER_PR_CHANGE="",IF(TITLE_NUMBER_PR="","",TITLE_NUMBER_PR),TITLE_NUMBER_PR_CHANGE)</f>
        <v/>
      </c>
      <c r="AD29" s="542"/>
      <c r="AE29" s="542"/>
      <c r="AF29" s="542"/>
      <c r="AG29" s="542"/>
      <c r="AH29" s="542"/>
      <c r="AI29" s="50"/>
      <c r="AJ29" s="50"/>
      <c r="AK29" s="543"/>
      <c r="AL29" s="128"/>
      <c r="AM29" s="128"/>
      <c r="AN29" s="128"/>
      <c r="AO29" s="128"/>
      <c r="AP29" s="128"/>
    </row>
    <row r="30" s="185" customFormat="1" ht="18.75" hidden="1" customHeight="1">
      <c r="A30" s="150"/>
      <c r="B30" s="150"/>
      <c r="C30" s="150"/>
      <c r="D30" s="150"/>
      <c r="E30" s="150"/>
      <c r="F30" s="150"/>
      <c r="G30" s="150"/>
      <c r="H30" s="150"/>
      <c r="I30" s="150"/>
      <c r="J30" s="150"/>
      <c r="K30" s="150"/>
      <c r="L30" s="480"/>
      <c r="M30" s="150"/>
      <c r="N30" s="150"/>
      <c r="O30" s="150"/>
      <c r="S30" s="540" t="s">
        <v>39</v>
      </c>
      <c r="T30" s="540"/>
      <c r="U30" s="541"/>
      <c r="V30" s="542" t="str">
        <f>IF(TITLE_IST_PUB_CHANGE="",IF(TITLE_IST_PUB="","",TITLE_IST_PUB),TITLE_IST_PUB_CHANGE)</f>
        <v/>
      </c>
      <c r="W30" s="542"/>
      <c r="X30" s="542"/>
      <c r="Y30" s="542"/>
      <c r="Z30" s="542"/>
      <c r="AA30" s="542"/>
      <c r="AB30" s="50"/>
      <c r="AC30" s="542" t="str">
        <f>IF(TITLE_IST_PUB_CHANGE="",IF(TITLE_IST_PUB="","",TITLE_IST_PUB),TITLE_IST_PUB_CHANGE)</f>
        <v/>
      </c>
      <c r="AD30" s="542"/>
      <c r="AE30" s="542"/>
      <c r="AF30" s="542"/>
      <c r="AG30" s="542"/>
      <c r="AH30" s="542"/>
      <c r="AI30" s="50"/>
      <c r="AJ30" s="50"/>
      <c r="AK30" s="543"/>
      <c r="AL30" s="128"/>
      <c r="AM30" s="128"/>
      <c r="AN30" s="128"/>
      <c r="AO30" s="128"/>
      <c r="AP30" s="128"/>
    </row>
    <row r="31" ht="14.25" hidden="1" customHeight="1">
      <c r="Q31" s="537"/>
      <c r="R31" s="537"/>
      <c r="S31" s="538"/>
      <c r="T31" s="89"/>
      <c r="U31" s="89"/>
      <c r="V31" s="539"/>
      <c r="W31" s="539"/>
      <c r="X31" s="539"/>
      <c r="Y31" s="539"/>
      <c r="Z31" s="539"/>
      <c r="AA31" s="539"/>
      <c r="AB31" s="539"/>
      <c r="AC31" s="539"/>
      <c r="AD31" s="539"/>
      <c r="AE31" s="539"/>
      <c r="AF31" s="539"/>
      <c r="AG31" s="539"/>
      <c r="AH31" s="539"/>
      <c r="AI31" s="539"/>
      <c r="AJ31" s="50"/>
    </row>
    <row r="32" s="185" customFormat="1" ht="18.75" hidden="1" customHeight="1">
      <c r="A32" s="150"/>
      <c r="B32" s="150"/>
      <c r="C32" s="150"/>
      <c r="D32" s="150"/>
      <c r="E32" s="150"/>
      <c r="F32" s="150"/>
      <c r="G32" s="150"/>
      <c r="H32" s="150"/>
      <c r="I32" s="150"/>
      <c r="J32" s="150"/>
      <c r="K32" s="150"/>
      <c r="L32" s="480"/>
      <c r="M32" s="150"/>
      <c r="N32" s="150"/>
      <c r="O32" s="150"/>
      <c r="S32" s="540" t="s">
        <v>415</v>
      </c>
      <c r="T32" s="540"/>
      <c r="U32" s="541"/>
      <c r="V32" s="544" t="str">
        <f>IF(TITLE_DATE_PR_CHANGE="",IF(TITLE_DATE_PR="","",TITLE_DATE_PR),TITLE_DATE_PR_CHANGE)</f>
        <v/>
      </c>
      <c r="W32" s="544"/>
      <c r="X32" s="544"/>
      <c r="Y32" s="544"/>
      <c r="Z32" s="544"/>
      <c r="AA32" s="544"/>
      <c r="AB32" s="50"/>
      <c r="AC32" s="544" t="str">
        <f>IF(TITLE_DATE_PR_CHANGE="",IF(TITLE_DATE_PR="","",TITLE_DATE_PR),TITLE_DATE_PR_CHANGE)</f>
        <v/>
      </c>
      <c r="AD32" s="544"/>
      <c r="AE32" s="544"/>
      <c r="AF32" s="544"/>
      <c r="AG32" s="544"/>
      <c r="AH32" s="544"/>
      <c r="AI32" s="50"/>
      <c r="AJ32" s="50"/>
      <c r="AK32" s="543"/>
      <c r="AL32" s="128"/>
      <c r="AM32" s="128"/>
      <c r="AN32" s="128"/>
      <c r="AO32" s="128"/>
      <c r="AP32" s="128"/>
    </row>
    <row r="33" s="185" customFormat="1" ht="18.75" hidden="1" customHeight="1">
      <c r="A33" s="150"/>
      <c r="B33" s="150"/>
      <c r="C33" s="150"/>
      <c r="D33" s="150"/>
      <c r="E33" s="150"/>
      <c r="F33" s="150"/>
      <c r="G33" s="150"/>
      <c r="H33" s="150"/>
      <c r="I33" s="150"/>
      <c r="J33" s="150"/>
      <c r="K33" s="150"/>
      <c r="L33" s="480"/>
      <c r="M33" s="150"/>
      <c r="N33" s="150"/>
      <c r="O33" s="150"/>
      <c r="S33" s="540" t="s">
        <v>416</v>
      </c>
      <c r="T33" s="540"/>
      <c r="U33" s="541"/>
      <c r="V33" s="542" t="str">
        <f>IF(TITLE_NUMBER_PR_CHANGE="",IF(TITLE_NUMBER_PR="","",TITLE_NUMBER_PR),TITLE_NUMBER_PR_CHANGE)</f>
        <v/>
      </c>
      <c r="W33" s="542"/>
      <c r="X33" s="542"/>
      <c r="Y33" s="542"/>
      <c r="Z33" s="542"/>
      <c r="AA33" s="542"/>
      <c r="AB33" s="50"/>
      <c r="AC33" s="542" t="str">
        <f>IF(TITLE_NUMBER_PR_CHANGE="",IF(TITLE_NUMBER_PR="","",TITLE_NUMBER_PR),TITLE_NUMBER_PR_CHANGE)</f>
        <v/>
      </c>
      <c r="AD33" s="542"/>
      <c r="AE33" s="542"/>
      <c r="AF33" s="542"/>
      <c r="AG33" s="542"/>
      <c r="AH33" s="542"/>
      <c r="AI33" s="50"/>
      <c r="AJ33" s="50"/>
      <c r="AK33" s="543"/>
      <c r="AL33" s="128"/>
      <c r="AM33" s="128"/>
      <c r="AN33" s="128"/>
      <c r="AO33" s="128"/>
      <c r="AP33" s="128"/>
    </row>
    <row r="34" s="185" customFormat="1" ht="0.75" customHeight="1">
      <c r="A34" s="150"/>
      <c r="B34" s="150"/>
      <c r="C34" s="150"/>
      <c r="D34" s="150"/>
      <c r="E34" s="150"/>
      <c r="F34" s="150"/>
      <c r="G34" s="150"/>
      <c r="H34" s="150"/>
      <c r="I34" s="150"/>
      <c r="J34" s="150"/>
      <c r="K34" s="150"/>
      <c r="L34" s="480"/>
      <c r="M34" s="150"/>
      <c r="N34" s="150"/>
      <c r="O34" s="150"/>
      <c r="S34" s="50"/>
      <c r="T34" s="50"/>
      <c r="U34" s="139"/>
      <c r="V34" s="50"/>
      <c r="W34" s="50"/>
      <c r="X34" s="50"/>
      <c r="Y34" s="50"/>
      <c r="Z34" s="50"/>
      <c r="AA34" s="50"/>
      <c r="AB34" s="57" t="s">
        <v>417</v>
      </c>
      <c r="AC34" s="50"/>
      <c r="AD34" s="50"/>
      <c r="AE34" s="50"/>
      <c r="AF34" s="50"/>
      <c r="AG34" s="50"/>
      <c r="AH34" s="50"/>
      <c r="AI34" s="57" t="s">
        <v>417</v>
      </c>
      <c r="AL34" s="128"/>
      <c r="AM34" s="128"/>
      <c r="AN34" s="128"/>
      <c r="AO34" s="128"/>
      <c r="AP34" s="128"/>
    </row>
    <row r="35" ht="14.25" customHeight="1">
      <c r="Q35" s="537"/>
      <c r="R35" s="537"/>
      <c r="S35" s="538"/>
      <c r="T35" s="89"/>
      <c r="U35" s="545"/>
      <c r="V35" s="546"/>
      <c r="W35" s="546"/>
      <c r="X35" s="546"/>
      <c r="Y35" s="546"/>
      <c r="Z35" s="546"/>
      <c r="AA35" s="546"/>
      <c r="AB35" s="546"/>
      <c r="AC35" s="546"/>
      <c r="AD35" s="546"/>
      <c r="AE35" s="546"/>
      <c r="AF35" s="546"/>
      <c r="AG35" s="546"/>
      <c r="AH35" s="546"/>
      <c r="AI35" s="546"/>
    </row>
    <row r="36" ht="14.25" customHeight="1">
      <c r="Q36" s="537"/>
      <c r="R36" s="537"/>
      <c r="S36" s="156" t="s">
        <v>288</v>
      </c>
      <c r="T36" s="156"/>
      <c r="U36" s="156"/>
      <c r="V36" s="156"/>
      <c r="W36" s="156"/>
      <c r="X36" s="156"/>
      <c r="Y36" s="156"/>
      <c r="Z36" s="156"/>
      <c r="AA36" s="156"/>
      <c r="AB36" s="156"/>
      <c r="AC36" s="156"/>
      <c r="AD36" s="156"/>
      <c r="AE36" s="156"/>
      <c r="AF36" s="156"/>
      <c r="AG36" s="156"/>
      <c r="AH36" s="156"/>
      <c r="AI36" s="156"/>
      <c r="AJ36" s="156"/>
      <c r="AK36" s="156" t="s">
        <v>289</v>
      </c>
    </row>
    <row r="37" ht="14.25" customHeight="1">
      <c r="Q37" s="537"/>
      <c r="R37" s="537"/>
      <c r="S37" s="483" t="s">
        <v>85</v>
      </c>
      <c r="T37" s="347" t="s">
        <v>418</v>
      </c>
      <c r="U37" s="547"/>
      <c r="V37" s="548" t="s">
        <v>419</v>
      </c>
      <c r="W37" s="549"/>
      <c r="X37" s="549"/>
      <c r="Y37" s="549"/>
      <c r="Z37" s="549"/>
      <c r="AA37" s="550"/>
      <c r="AB37" s="551" t="s">
        <v>420</v>
      </c>
      <c r="AC37" s="548" t="s">
        <v>419</v>
      </c>
      <c r="AD37" s="549"/>
      <c r="AE37" s="549"/>
      <c r="AF37" s="549"/>
      <c r="AG37" s="549"/>
      <c r="AH37" s="550"/>
      <c r="AI37" s="551" t="s">
        <v>421</v>
      </c>
      <c r="AJ37" s="552" t="s">
        <v>422</v>
      </c>
      <c r="AK37" s="156"/>
    </row>
    <row r="38" ht="33.75" customHeight="1">
      <c r="Q38" s="537"/>
      <c r="R38" s="537"/>
      <c r="S38" s="483"/>
      <c r="T38" s="347"/>
      <c r="U38" s="553"/>
      <c r="V38" s="306" t="s">
        <v>479</v>
      </c>
      <c r="W38" s="73" t="s">
        <v>425</v>
      </c>
      <c r="X38" s="72"/>
      <c r="Y38" s="73" t="s">
        <v>426</v>
      </c>
      <c r="Z38" s="144"/>
      <c r="AA38" s="72"/>
      <c r="AB38" s="555"/>
      <c r="AC38" s="306" t="s">
        <v>479</v>
      </c>
      <c r="AD38" s="73" t="s">
        <v>425</v>
      </c>
      <c r="AE38" s="72"/>
      <c r="AF38" s="73" t="s">
        <v>426</v>
      </c>
      <c r="AG38" s="144"/>
      <c r="AH38" s="72"/>
      <c r="AI38" s="555"/>
      <c r="AJ38" s="556"/>
      <c r="AK38" s="156"/>
    </row>
    <row r="39" ht="33.75" customHeight="1">
      <c r="A39" s="150"/>
      <c r="B39" s="150" t="s">
        <v>137</v>
      </c>
      <c r="C39" s="150" t="s">
        <v>138</v>
      </c>
      <c r="D39" s="150" t="s">
        <v>139</v>
      </c>
      <c r="E39" s="480" t="s">
        <v>427</v>
      </c>
      <c r="F39" s="480" t="s">
        <v>428</v>
      </c>
      <c r="G39" s="480" t="s">
        <v>429</v>
      </c>
      <c r="H39" s="480"/>
      <c r="I39" s="480" t="s">
        <v>480</v>
      </c>
      <c r="J39" s="480" t="s">
        <v>432</v>
      </c>
      <c r="K39" s="480" t="s">
        <v>481</v>
      </c>
      <c r="L39" s="480" t="s">
        <v>408</v>
      </c>
      <c r="Q39" s="537"/>
      <c r="R39" s="537"/>
      <c r="S39" s="483"/>
      <c r="T39" s="347"/>
      <c r="U39" s="557"/>
      <c r="V39" s="306" t="s">
        <v>482</v>
      </c>
      <c r="W39" s="247" t="s">
        <v>483</v>
      </c>
      <c r="X39" s="247" t="s">
        <v>484</v>
      </c>
      <c r="Y39" s="247" t="s">
        <v>436</v>
      </c>
      <c r="Z39" s="414" t="s">
        <v>437</v>
      </c>
      <c r="AA39" s="416"/>
      <c r="AB39" s="559"/>
      <c r="AC39" s="306" t="s">
        <v>482</v>
      </c>
      <c r="AD39" s="247" t="s">
        <v>483</v>
      </c>
      <c r="AE39" s="247" t="s">
        <v>484</v>
      </c>
      <c r="AF39" s="247" t="s">
        <v>436</v>
      </c>
      <c r="AG39" s="414" t="s">
        <v>437</v>
      </c>
      <c r="AH39" s="416"/>
      <c r="AI39" s="559"/>
      <c r="AJ39" s="560"/>
      <c r="AK39" s="156"/>
    </row>
    <row r="40" s="130" customFormat="1" ht="0" customHeight="1">
      <c r="A40" s="150"/>
      <c r="B40" s="150"/>
      <c r="C40" s="150"/>
      <c r="D40" s="150"/>
      <c r="E40" s="150"/>
      <c r="F40" s="150"/>
      <c r="G40" s="150"/>
      <c r="H40" s="150"/>
      <c r="I40" s="150"/>
      <c r="J40" s="150"/>
      <c r="K40" s="150"/>
      <c r="L40" s="480"/>
      <c r="M40" s="61"/>
      <c r="N40" s="61"/>
      <c r="O40" s="61"/>
      <c r="P40" s="561"/>
      <c r="Q40" s="562"/>
      <c r="R40" s="563">
        <v>1</v>
      </c>
      <c r="S40" s="564" t="s">
        <v>111</v>
      </c>
      <c r="T40" s="565" t="s">
        <v>99</v>
      </c>
      <c r="U40" s="566" t="str">
        <f ca="1">OFFSET(U40,0,-1)</f>
        <v>2</v>
      </c>
      <c r="V40" s="567">
        <f ca="1">OFFSET(V40,0,-1)+1</f>
        <v>3</v>
      </c>
      <c r="W40" s="567">
        <f ca="1">OFFSET(W40,0,-1)+1</f>
        <v>4</v>
      </c>
      <c r="X40" s="567">
        <f ca="1">OFFSET(X40,0,-1)+1</f>
        <v>5</v>
      </c>
      <c r="Y40" s="567">
        <f ca="1">OFFSET(Y40,0,-1)+1</f>
        <v>6</v>
      </c>
      <c r="Z40" s="567">
        <f ca="1">OFFSET(Z40,0,-1)+1</f>
        <v>7</v>
      </c>
      <c r="AA40" s="567"/>
      <c r="AB40" s="567">
        <f ca="1">OFFSET(AB40,0,-2)+1</f>
        <v>8</v>
      </c>
      <c r="AC40" s="567">
        <f ca="1">OFFSET(AC40,0,-1)+1</f>
        <v>9</v>
      </c>
      <c r="AD40" s="567">
        <f ca="1">OFFSET(AD40,0,-1)+1</f>
        <v>10</v>
      </c>
      <c r="AE40" s="567">
        <f ca="1">OFFSET(AE40,0,-1)+1</f>
        <v>11</v>
      </c>
      <c r="AF40" s="567">
        <f ca="1">OFFSET(AF40,0,-1)+1</f>
        <v>12</v>
      </c>
      <c r="AG40" s="567">
        <f ca="1">OFFSET(AG40,0,-1)+1</f>
        <v>13</v>
      </c>
      <c r="AH40" s="567"/>
      <c r="AI40" s="567">
        <f ca="1">OFFSET(AI40,0,-2)+1</f>
        <v>14</v>
      </c>
      <c r="AJ40" s="566">
        <f ca="1">OFFSET(AJ40,0,-1)</f>
        <v>14</v>
      </c>
      <c r="AK40" s="567">
        <f ca="1">OFFSET(AK40,0,-1)+1</f>
        <v>15</v>
      </c>
      <c r="AL40" s="57"/>
      <c r="AM40" s="57"/>
      <c r="AN40" s="57"/>
      <c r="AO40" s="57"/>
      <c r="AP40" s="57"/>
    </row>
    <row r="41" ht="23.25" customHeight="1">
      <c r="A41" s="478" t="s">
        <v>219</v>
      </c>
      <c r="B41" s="478"/>
      <c r="C41" s="478"/>
      <c r="D41" s="478"/>
      <c r="E41" s="479">
        <v>1</v>
      </c>
      <c r="F41" s="478"/>
      <c r="G41" s="478"/>
      <c r="H41" s="478"/>
      <c r="I41" s="478"/>
      <c r="J41" s="478"/>
      <c r="K41" s="478"/>
      <c r="L41" s="480"/>
      <c r="M41" s="481"/>
      <c r="N41" s="481"/>
      <c r="O41" s="481"/>
      <c r="P41" s="60"/>
      <c r="Q41" s="142"/>
      <c r="R41" s="482"/>
      <c r="S41" s="483">
        <f>INDEX(PT_DIFFERENTIATION_NUM_NTAR,MATCH(A41,PT_DIFFERENTIATION_NTAR_ID,0))</f>
        <v>0</v>
      </c>
      <c r="T41" s="484" t="s">
        <v>125</v>
      </c>
      <c r="U41" s="485"/>
      <c r="V41" s="486"/>
      <c r="W41" s="487"/>
      <c r="X41" s="487"/>
      <c r="Y41" s="487"/>
      <c r="Z41" s="487"/>
      <c r="AA41" s="487"/>
      <c r="AB41" s="488"/>
      <c r="AC41" s="486" t="str">
        <f>INDEX(PT_DIFFERENTIATION_NTAR,MATCH(A41,PT_DIFFERENTIATION_NTAR_ID,0))</f>
        <v/>
      </c>
      <c r="AD41" s="487"/>
      <c r="AE41" s="487"/>
      <c r="AF41" s="487"/>
      <c r="AG41" s="487"/>
      <c r="AH41" s="487"/>
      <c r="AI41" s="487"/>
      <c r="AJ41" s="488"/>
      <c r="AK41"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8"/>
      <c r="AN41" s="128" t="str">
        <f t="shared" si="23"/>
        <v xml:space="preserve">Наименование тарифа</v>
      </c>
      <c r="AO41" s="128"/>
      <c r="AP41" s="128"/>
    </row>
    <row r="42" ht="23.25" customHeight="1">
      <c r="A42" s="478" t="s">
        <v>219</v>
      </c>
      <c r="B42" s="478" t="s">
        <v>220</v>
      </c>
      <c r="C42" s="478"/>
      <c r="D42" s="478"/>
      <c r="E42" s="490"/>
      <c r="F42" s="479">
        <v>1</v>
      </c>
      <c r="G42" s="478"/>
      <c r="H42" s="478"/>
      <c r="I42" s="478"/>
      <c r="J42" s="478"/>
      <c r="K42" s="478"/>
      <c r="L42" s="480"/>
      <c r="M42" s="481"/>
      <c r="N42" s="481"/>
      <c r="O42" s="481"/>
      <c r="P42" s="51"/>
      <c r="Q42" s="491"/>
      <c r="R42" s="492"/>
      <c r="S42" s="483" t="str">
        <f>INDEX(PT_DIFFERENTIATION_NUM_TER,MATCH(B42,PT_DIFFERENTIATION_TER_ID,0))</f>
        <v>.</v>
      </c>
      <c r="T42" s="493" t="s">
        <v>387</v>
      </c>
      <c r="U42" s="485"/>
      <c r="V42" s="486"/>
      <c r="W42" s="487"/>
      <c r="X42" s="487"/>
      <c r="Y42" s="487"/>
      <c r="Z42" s="487"/>
      <c r="AA42" s="487"/>
      <c r="AB42" s="488"/>
      <c r="AC42" s="486" t="str">
        <f>INDEX(PT_DIFFERENTIATION_TER,MATCH(B42,PT_DIFFERENTIATION_TER_ID,0))</f>
        <v/>
      </c>
      <c r="AD42" s="487"/>
      <c r="AE42" s="487"/>
      <c r="AF42" s="487"/>
      <c r="AG42" s="487"/>
      <c r="AH42" s="487"/>
      <c r="AI42" s="487"/>
      <c r="AJ42" s="488"/>
      <c r="AK42" s="489" t="s">
        <v>388</v>
      </c>
      <c r="AM42" s="128"/>
      <c r="AN42" s="128" t="str">
        <f t="shared" si="23"/>
        <v xml:space="preserve">Территория действия тарифа</v>
      </c>
      <c r="AO42" s="128"/>
      <c r="AP42" s="128"/>
    </row>
    <row r="43" ht="23.25" customHeight="1">
      <c r="A43" s="478" t="s">
        <v>219</v>
      </c>
      <c r="B43" s="478" t="s">
        <v>220</v>
      </c>
      <c r="C43" s="478" t="s">
        <v>221</v>
      </c>
      <c r="D43" s="478"/>
      <c r="E43" s="490"/>
      <c r="F43" s="490"/>
      <c r="G43" s="479">
        <v>1</v>
      </c>
      <c r="H43" s="478"/>
      <c r="I43" s="478"/>
      <c r="J43" s="478"/>
      <c r="K43" s="478"/>
      <c r="L43" s="480"/>
      <c r="M43" s="481"/>
      <c r="N43" s="481"/>
      <c r="O43" s="481"/>
      <c r="P43" s="494"/>
      <c r="Q43" s="491"/>
      <c r="R43" s="492"/>
      <c r="S43" s="483" t="str">
        <f>INDEX(PT_DIFFERENTIATION_NUM_CS,MATCH(C43,PT_DIFFERENTIATION_CS_ID,0))</f>
        <v>..</v>
      </c>
      <c r="T43" s="495" t="s">
        <v>471</v>
      </c>
      <c r="U43" s="485"/>
      <c r="V43" s="486"/>
      <c r="W43" s="487"/>
      <c r="X43" s="487"/>
      <c r="Y43" s="487"/>
      <c r="Z43" s="487"/>
      <c r="AA43" s="487"/>
      <c r="AB43" s="488"/>
      <c r="AC43" s="486" t="str">
        <f>INDEX(PT_DIFFERENTIATION_CS,MATCH(C43,PT_DIFFERENTIATION_CS_ID,0))</f>
        <v/>
      </c>
      <c r="AD43" s="487"/>
      <c r="AE43" s="487"/>
      <c r="AF43" s="487"/>
      <c r="AG43" s="487"/>
      <c r="AH43" s="487"/>
      <c r="AI43" s="487"/>
      <c r="AJ43" s="488"/>
      <c r="AK43" s="489" t="s">
        <v>472</v>
      </c>
      <c r="AM43" s="128"/>
      <c r="AN43" s="128" t="str">
        <f t="shared" si="23"/>
        <v xml:space="preserve">Наименование централизованной системы холодного водоснабжения</v>
      </c>
      <c r="AO43" s="128"/>
      <c r="AP43" s="128"/>
    </row>
    <row r="44" ht="23.25" customHeight="1">
      <c r="A44" s="478" t="s">
        <v>219</v>
      </c>
      <c r="B44" s="478" t="s">
        <v>220</v>
      </c>
      <c r="C44" s="478" t="s">
        <v>221</v>
      </c>
      <c r="D44" s="478" t="s">
        <v>486</v>
      </c>
      <c r="E44" s="490"/>
      <c r="F44" s="490"/>
      <c r="G44" s="490"/>
      <c r="H44" s="490"/>
      <c r="I44" s="167" t="str">
        <f>S43&amp;".1"</f>
        <v>...1</v>
      </c>
      <c r="J44" s="478"/>
      <c r="K44" s="478"/>
      <c r="L44" s="480"/>
      <c r="P44" s="131">
        <v>1</v>
      </c>
      <c r="Q44" s="131"/>
      <c r="R44" s="497"/>
      <c r="S44" s="483" t="str">
        <f>$I44</f>
        <v>...1</v>
      </c>
      <c r="T44" s="498" t="s">
        <v>473</v>
      </c>
      <c r="U44" s="485"/>
      <c r="V44" s="658"/>
      <c r="W44" s="659"/>
      <c r="X44" s="659"/>
      <c r="Y44" s="659"/>
      <c r="Z44" s="659"/>
      <c r="AA44" s="659"/>
      <c r="AB44" s="660"/>
      <c r="AC44" s="661"/>
      <c r="AD44" s="662"/>
      <c r="AE44" s="662"/>
      <c r="AF44" s="662"/>
      <c r="AG44" s="662"/>
      <c r="AH44" s="662"/>
      <c r="AI44" s="662"/>
      <c r="AJ44" s="663"/>
      <c r="AK44" s="489" t="s">
        <v>474</v>
      </c>
      <c r="AM44" s="128"/>
      <c r="AN44" s="128" t="str">
        <f t="shared" si="23"/>
        <v xml:space="preserve">Наименование признака дифференциации</v>
      </c>
      <c r="AO44" s="128"/>
      <c r="AP44" s="128"/>
    </row>
    <row r="45" ht="23.25" customHeight="1">
      <c r="A45" s="478" t="s">
        <v>219</v>
      </c>
      <c r="B45" s="478" t="s">
        <v>220</v>
      </c>
      <c r="C45" s="478" t="s">
        <v>221</v>
      </c>
      <c r="D45" s="478" t="s">
        <v>486</v>
      </c>
      <c r="E45" s="490"/>
      <c r="F45" s="490"/>
      <c r="G45" s="490"/>
      <c r="H45" s="490"/>
      <c r="I45" s="501"/>
      <c r="J45" s="167" t="str">
        <f>I44&amp;".1"</f>
        <v>...1.1</v>
      </c>
      <c r="K45" s="478"/>
      <c r="L45" s="480" t="s">
        <v>396</v>
      </c>
      <c r="P45" s="131"/>
      <c r="Q45" s="131">
        <v>1</v>
      </c>
      <c r="R45" s="502"/>
      <c r="S45" s="483" t="str">
        <f>$J45</f>
        <v>...1.1</v>
      </c>
      <c r="T45" s="503" t="s">
        <v>397</v>
      </c>
      <c r="U45" s="485"/>
      <c r="V45" s="430"/>
      <c r="W45" s="499"/>
      <c r="X45" s="499"/>
      <c r="Y45" s="499"/>
      <c r="Z45" s="499"/>
      <c r="AA45" s="499"/>
      <c r="AB45" s="500"/>
      <c r="AC45" s="430"/>
      <c r="AD45" s="499"/>
      <c r="AE45" s="499"/>
      <c r="AF45" s="499"/>
      <c r="AG45" s="499"/>
      <c r="AH45" s="499"/>
      <c r="AI45" s="499"/>
      <c r="AJ45" s="500"/>
      <c r="AK45" s="593" t="s">
        <v>475</v>
      </c>
      <c r="AM45" s="128"/>
      <c r="AN45" s="128" t="str">
        <f t="shared" si="23"/>
        <v xml:space="preserve">Группа потребителей</v>
      </c>
      <c r="AO45" s="128"/>
      <c r="AP45" s="128"/>
    </row>
    <row r="46" ht="23.25" customHeight="1">
      <c r="A46" s="478" t="s">
        <v>219</v>
      </c>
      <c r="B46" s="478" t="s">
        <v>220</v>
      </c>
      <c r="C46" s="478" t="s">
        <v>221</v>
      </c>
      <c r="D46" s="478" t="s">
        <v>486</v>
      </c>
      <c r="E46" s="490"/>
      <c r="F46" s="490"/>
      <c r="G46" s="490"/>
      <c r="H46" s="490"/>
      <c r="I46" s="501"/>
      <c r="J46" s="501"/>
      <c r="K46" s="167" t="str">
        <f>J45&amp;".1"</f>
        <v>...1.1.1</v>
      </c>
      <c r="L46" s="480"/>
      <c r="P46" s="131"/>
      <c r="Q46" s="131"/>
      <c r="R46" s="502">
        <v>1</v>
      </c>
      <c r="S46" s="483" t="str">
        <f>$K46</f>
        <v>...1.1.1</v>
      </c>
      <c r="T46" s="664"/>
      <c r="U46" s="485"/>
      <c r="V46" s="505"/>
      <c r="W46" s="505"/>
      <c r="X46" s="507"/>
      <c r="Y46" s="508"/>
      <c r="Z46" s="225" t="s">
        <v>56</v>
      </c>
      <c r="AA46" s="508"/>
      <c r="AB46" s="225" t="s">
        <v>56</v>
      </c>
      <c r="AC46" s="505"/>
      <c r="AD46" s="505"/>
      <c r="AE46" s="507"/>
      <c r="AF46" s="508"/>
      <c r="AG46" s="225" t="s">
        <v>56</v>
      </c>
      <c r="AH46" s="568"/>
      <c r="AI46" s="225" t="s">
        <v>56</v>
      </c>
      <c r="AJ46" s="665"/>
      <c r="AK46"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8"/>
      <c r="AN46" s="128" t="str">
        <f t="shared" si="23"/>
        <v/>
      </c>
      <c r="AO46" s="128"/>
      <c r="AP46" s="128"/>
    </row>
    <row r="47" ht="0" customHeight="1">
      <c r="A47" s="478" t="s">
        <v>219</v>
      </c>
      <c r="B47" s="478" t="s">
        <v>220</v>
      </c>
      <c r="C47" s="478" t="s">
        <v>221</v>
      </c>
      <c r="D47" s="478" t="s">
        <v>486</v>
      </c>
      <c r="E47" s="490"/>
      <c r="F47" s="490"/>
      <c r="G47" s="490"/>
      <c r="H47" s="490"/>
      <c r="I47" s="501"/>
      <c r="J47" s="501"/>
      <c r="K47" s="167"/>
      <c r="L47" s="480"/>
      <c r="P47" s="131"/>
      <c r="Q47" s="131"/>
      <c r="R47" s="502"/>
      <c r="S47" s="457"/>
      <c r="T47" s="485"/>
      <c r="U47" s="485"/>
      <c r="V47" s="506"/>
      <c r="W47" s="506"/>
      <c r="X47" s="510" t="str">
        <f>Y46&amp;"-"&amp;AA46</f>
        <v>-</v>
      </c>
      <c r="Y47" s="511"/>
      <c r="Z47" s="225"/>
      <c r="AA47" s="511"/>
      <c r="AB47" s="225"/>
      <c r="AC47" s="506"/>
      <c r="AD47" s="506"/>
      <c r="AE47" s="510" t="str">
        <f>AF46&amp;"-"&amp;AH46</f>
        <v>-</v>
      </c>
      <c r="AF47" s="511"/>
      <c r="AG47" s="225"/>
      <c r="AH47" s="570"/>
      <c r="AI47" s="225"/>
      <c r="AJ47" s="667"/>
      <c r="AK47" s="666"/>
      <c r="AM47" s="128"/>
      <c r="AN47" s="128" t="str">
        <f t="shared" si="23"/>
        <v/>
      </c>
      <c r="AO47" s="128"/>
      <c r="AP47" s="128"/>
    </row>
    <row r="48" ht="21" customHeight="1">
      <c r="A48" s="478" t="s">
        <v>219</v>
      </c>
      <c r="B48" s="478" t="s">
        <v>220</v>
      </c>
      <c r="C48" s="478" t="s">
        <v>221</v>
      </c>
      <c r="D48" s="478" t="s">
        <v>486</v>
      </c>
      <c r="E48" s="490"/>
      <c r="F48" s="490"/>
      <c r="G48" s="490"/>
      <c r="H48" s="490"/>
      <c r="I48" s="501"/>
      <c r="J48" s="167"/>
      <c r="K48" s="478"/>
      <c r="L48" s="480"/>
      <c r="P48" s="131"/>
      <c r="Q48" s="131"/>
      <c r="R48" s="497"/>
      <c r="S48" s="513"/>
      <c r="T48" s="517" t="s">
        <v>476</v>
      </c>
      <c r="U48" s="215"/>
      <c r="V48" s="215"/>
      <c r="W48" s="215"/>
      <c r="X48" s="215"/>
      <c r="Y48" s="215"/>
      <c r="Z48" s="215"/>
      <c r="AA48" s="215"/>
      <c r="AB48" s="215"/>
      <c r="AC48" s="215"/>
      <c r="AD48" s="215"/>
      <c r="AE48" s="215"/>
      <c r="AF48" s="215"/>
      <c r="AG48" s="215"/>
      <c r="AH48" s="215"/>
      <c r="AI48" s="215"/>
      <c r="AJ48" s="215"/>
      <c r="AK48" s="489" t="s">
        <v>477</v>
      </c>
      <c r="AM48" s="128"/>
      <c r="AN48" s="128" t="str">
        <f t="shared" si="23"/>
        <v xml:space="preserve">Добавить значение признака дифференциации</v>
      </c>
      <c r="AO48" s="128"/>
      <c r="AP48" s="128"/>
    </row>
    <row r="49" ht="21" customHeight="1">
      <c r="A49" s="478" t="s">
        <v>219</v>
      </c>
      <c r="B49" s="478" t="s">
        <v>220</v>
      </c>
      <c r="C49" s="478" t="s">
        <v>221</v>
      </c>
      <c r="D49" s="478" t="s">
        <v>486</v>
      </c>
      <c r="E49" s="490"/>
      <c r="F49" s="490"/>
      <c r="G49" s="490"/>
      <c r="H49" s="490"/>
      <c r="I49" s="167"/>
      <c r="J49" s="478"/>
      <c r="K49" s="478"/>
      <c r="L49" s="480"/>
      <c r="P49" s="131"/>
      <c r="Q49" s="131"/>
      <c r="R49" s="497"/>
      <c r="S49" s="513"/>
      <c r="T49" s="521" t="s">
        <v>402</v>
      </c>
      <c r="U49" s="215"/>
      <c r="V49" s="215"/>
      <c r="W49" s="215"/>
      <c r="X49" s="215"/>
      <c r="Y49" s="215"/>
      <c r="Z49" s="215"/>
      <c r="AA49" s="215"/>
      <c r="AB49" s="518"/>
      <c r="AC49" s="215"/>
      <c r="AD49" s="215"/>
      <c r="AE49" s="215"/>
      <c r="AF49" s="215"/>
      <c r="AG49" s="215"/>
      <c r="AH49" s="215"/>
      <c r="AI49" s="518"/>
      <c r="AJ49" s="215"/>
      <c r="AK49" s="668"/>
      <c r="AM49" s="128"/>
      <c r="AN49" s="128" t="str">
        <f t="shared" si="23"/>
        <v xml:space="preserve">Добавить группу потребителей</v>
      </c>
      <c r="AO49" s="128"/>
      <c r="AP49" s="128"/>
    </row>
    <row r="50" ht="21" customHeight="1">
      <c r="A50" s="478" t="s">
        <v>219</v>
      </c>
      <c r="B50" s="478" t="s">
        <v>220</v>
      </c>
      <c r="C50" s="478" t="s">
        <v>221</v>
      </c>
      <c r="D50" s="478" t="s">
        <v>486</v>
      </c>
      <c r="E50" s="490"/>
      <c r="F50" s="490"/>
      <c r="G50" s="490"/>
      <c r="H50" s="479"/>
      <c r="I50" s="478"/>
      <c r="J50" s="478"/>
      <c r="K50" s="478"/>
      <c r="L50" s="480"/>
      <c r="M50" s="481"/>
      <c r="N50" s="481"/>
      <c r="O50" s="53"/>
      <c r="P50" s="142"/>
      <c r="Q50" s="520"/>
      <c r="R50" s="482"/>
      <c r="S50" s="513"/>
      <c r="T50" s="669" t="s">
        <v>478</v>
      </c>
      <c r="U50" s="215"/>
      <c r="V50" s="215"/>
      <c r="W50" s="215"/>
      <c r="X50" s="215"/>
      <c r="Y50" s="215"/>
      <c r="Z50" s="215"/>
      <c r="AA50" s="215"/>
      <c r="AB50" s="518"/>
      <c r="AC50" s="215"/>
      <c r="AD50" s="215"/>
      <c r="AE50" s="215"/>
      <c r="AF50" s="215"/>
      <c r="AG50" s="215"/>
      <c r="AH50" s="215"/>
      <c r="AI50" s="518"/>
      <c r="AJ50" s="215"/>
      <c r="AK50" s="519"/>
      <c r="AM50" s="128"/>
      <c r="AN50" s="128" t="str">
        <f t="shared" si="23"/>
        <v xml:space="preserve">Добавить наименование признака дифференциации</v>
      </c>
      <c r="AO50" s="128"/>
      <c r="AP50" s="128"/>
    </row>
    <row r="51" s="57" customFormat="1" ht="0" customHeight="1">
      <c r="A51" s="132" t="s">
        <v>219</v>
      </c>
      <c r="B51" s="132" t="s">
        <v>220</v>
      </c>
      <c r="C51" s="132"/>
      <c r="D51" s="132"/>
      <c r="E51" s="490"/>
      <c r="F51" s="479"/>
      <c r="G51" s="132"/>
      <c r="H51" s="132"/>
      <c r="I51" s="132"/>
      <c r="J51" s="132"/>
      <c r="K51" s="132"/>
      <c r="L51" s="213"/>
      <c r="M51" s="526"/>
      <c r="N51" s="526"/>
      <c r="P51" s="166"/>
      <c r="Q51" s="522"/>
      <c r="R51" s="166"/>
      <c r="S51" s="527"/>
      <c r="T51" s="530" t="s">
        <v>405</v>
      </c>
      <c r="U51" s="529"/>
      <c r="V51" s="529"/>
      <c r="W51" s="529"/>
      <c r="X51" s="529"/>
      <c r="Y51" s="529"/>
      <c r="Z51" s="529"/>
      <c r="AA51" s="529"/>
      <c r="AB51" s="529"/>
      <c r="AC51" s="529"/>
      <c r="AD51" s="529"/>
      <c r="AE51" s="529"/>
      <c r="AF51" s="529"/>
      <c r="AG51" s="529"/>
      <c r="AH51" s="529"/>
      <c r="AI51" s="529"/>
      <c r="AJ51" s="529"/>
      <c r="AK51" s="529"/>
      <c r="AM51" s="128"/>
      <c r="AN51" s="128" t="str">
        <f t="shared" si="23"/>
        <v xml:space="preserve">Добавить централизованную систему для дифференциации</v>
      </c>
      <c r="AO51" s="128"/>
      <c r="AP51" s="128"/>
    </row>
    <row r="52" s="57" customFormat="1" ht="0" customHeight="1">
      <c r="A52" s="132" t="s">
        <v>219</v>
      </c>
      <c r="B52" s="132"/>
      <c r="C52" s="132"/>
      <c r="D52" s="132"/>
      <c r="E52" s="479"/>
      <c r="F52" s="132"/>
      <c r="G52" s="132"/>
      <c r="H52" s="132"/>
      <c r="I52" s="132"/>
      <c r="J52" s="132"/>
      <c r="K52" s="132"/>
      <c r="L52" s="213"/>
      <c r="M52" s="526"/>
      <c r="N52" s="526"/>
      <c r="O52" s="57"/>
      <c r="P52" s="166"/>
      <c r="Q52" s="522"/>
      <c r="R52" s="166"/>
      <c r="S52" s="527"/>
      <c r="T52" s="530" t="s">
        <v>406</v>
      </c>
      <c r="U52" s="529"/>
      <c r="V52" s="529"/>
      <c r="W52" s="529"/>
      <c r="X52" s="529"/>
      <c r="Y52" s="529"/>
      <c r="Z52" s="529"/>
      <c r="AA52" s="529"/>
      <c r="AB52" s="529"/>
      <c r="AC52" s="529"/>
      <c r="AD52" s="529"/>
      <c r="AE52" s="529"/>
      <c r="AF52" s="529"/>
      <c r="AG52" s="529"/>
      <c r="AH52" s="529"/>
      <c r="AI52" s="529"/>
      <c r="AJ52" s="529"/>
      <c r="AK52" s="529"/>
      <c r="AM52" s="128"/>
      <c r="AN52" s="128" t="str">
        <f t="shared" si="23"/>
        <v xml:space="preserve">Добавить территорию для дифференциации</v>
      </c>
      <c r="AO52" s="128"/>
      <c r="AP52" s="128"/>
    </row>
    <row r="53" s="57" customFormat="1" ht="0" customHeight="1">
      <c r="A53" s="132"/>
      <c r="B53" s="132"/>
      <c r="C53" s="132"/>
      <c r="D53" s="132"/>
      <c r="E53" s="132"/>
      <c r="F53" s="132"/>
      <c r="G53" s="132"/>
      <c r="H53" s="132"/>
      <c r="I53" s="132"/>
      <c r="J53" s="132"/>
      <c r="K53" s="132"/>
      <c r="L53" s="213"/>
      <c r="M53" s="526"/>
      <c r="N53" s="526"/>
      <c r="P53" s="166"/>
      <c r="Q53" s="522"/>
      <c r="R53" s="166"/>
      <c r="S53" s="527"/>
      <c r="T53" s="530" t="s">
        <v>438</v>
      </c>
      <c r="U53" s="529"/>
      <c r="V53" s="529"/>
      <c r="W53" s="529"/>
      <c r="X53" s="529"/>
      <c r="Y53" s="529"/>
      <c r="Z53" s="529"/>
      <c r="AA53" s="529"/>
      <c r="AB53" s="529"/>
      <c r="AC53" s="529"/>
      <c r="AD53" s="529"/>
      <c r="AE53" s="529"/>
      <c r="AF53" s="529"/>
      <c r="AG53" s="529"/>
      <c r="AH53" s="529"/>
      <c r="AI53" s="529"/>
      <c r="AJ53" s="529"/>
      <c r="AK53" s="529"/>
      <c r="AM53" s="128"/>
      <c r="AN53" s="128" t="str">
        <f t="shared" si="23"/>
        <v xml:space="preserve">Добавить наименование тарифа</v>
      </c>
      <c r="AO53" s="128"/>
      <c r="AP53" s="128"/>
    </row>
    <row r="54" ht="11.25" customHeight="1">
      <c r="M54" s="53"/>
      <c r="N54" s="53"/>
      <c r="O54" s="53"/>
      <c r="P54" s="50"/>
      <c r="Q54" s="50"/>
      <c r="R54" s="50"/>
      <c r="S54" s="50"/>
      <c r="AL54" s="50"/>
      <c r="AM54" s="50"/>
      <c r="AN54" s="50"/>
      <c r="AO54" s="50"/>
      <c r="AP54" s="50"/>
    </row>
    <row r="55" ht="14.25" customHeight="1">
      <c r="O55" s="53"/>
      <c r="S55" s="475"/>
      <c r="T55" s="572"/>
      <c r="U55" s="572"/>
      <c r="V55" s="572"/>
      <c r="W55" s="572"/>
      <c r="X55" s="572"/>
      <c r="Y55" s="572"/>
      <c r="Z55" s="572"/>
      <c r="AA55" s="572"/>
      <c r="AB55" s="572"/>
      <c r="AC55" s="572"/>
      <c r="AD55" s="572"/>
      <c r="AE55" s="572"/>
      <c r="AF55" s="572"/>
      <c r="AG55" s="572"/>
      <c r="AH55" s="572"/>
      <c r="AI55" s="572"/>
      <c r="AJ55" s="572"/>
      <c r="AK55" s="572"/>
    </row>
    <row r="56" ht="14.25" customHeight="1">
      <c r="O56" s="53"/>
    </row>
    <row r="57" ht="14.25" customHeight="1">
      <c r="O57" s="53"/>
      <c r="S57" s="475"/>
      <c r="T57" s="572"/>
      <c r="U57" s="572"/>
      <c r="V57" s="572"/>
      <c r="W57" s="572"/>
      <c r="X57" s="572"/>
      <c r="Y57" s="572"/>
      <c r="Z57" s="572"/>
      <c r="AA57" s="572"/>
      <c r="AB57" s="572"/>
      <c r="AC57" s="572"/>
      <c r="AD57" s="572"/>
      <c r="AE57" s="572"/>
      <c r="AF57" s="572"/>
      <c r="AG57" s="572"/>
      <c r="AH57" s="572"/>
      <c r="AI57" s="572"/>
      <c r="AJ57" s="572"/>
      <c r="AK57" s="572"/>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5003D-00F0-4324-AEE1-0003002F0033}"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ED00EC-00C4-4904-B743-0045000600E3}"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BB0004-00AB-4B59-99AA-002200750072}"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0D00CC-000E-4681-A421-001600D40043}"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7109375"/>
    <col customWidth="1" min="17" max="18" style="477" width="3.7109375"/>
    <col customWidth="1" min="19" max="19" style="322" width="12.7109375"/>
    <col customWidth="1" min="20" max="20" style="50" width="35.710937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31" style="50" width="24.7109375"/>
    <col customWidth="1" min="32" max="32" style="50" width="11.7109375"/>
    <col customWidth="1" min="33" max="33" style="50" width="3.7109375"/>
    <col customWidth="1" min="34" max="34" style="50" width="11.7109375"/>
    <col customWidth="1" hidden="1" min="35" max="35" style="50" width="8.57421875"/>
    <col customWidth="1" min="36" max="36" style="50" width="4.7109375"/>
    <col customWidth="1" min="37" max="37" style="50" width="115.7109375"/>
    <col min="38" max="39" style="57" width="10.57421875"/>
    <col customWidth="1" min="40" max="40" style="57" width="11.140625"/>
    <col min="41" max="42" style="57" width="10.57421875"/>
  </cols>
  <sheetData>
    <row r="1" ht="14.25" hidden="1" customHeight="1">
      <c r="X1" s="50"/>
      <c r="Y1" s="50"/>
      <c r="AE1" s="50"/>
      <c r="AF1" s="50"/>
    </row>
    <row r="2" ht="23.25"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8"/>
      <c r="AC2" s="486" t="e">
        <f>INDEX(PT_DIFFERENTIATION_NTAR,MATCH(A2,PT_DIFFERENTIATION_NTAR_ID,0))</f>
        <v>#VALUE!</v>
      </c>
      <c r="AD2" s="487"/>
      <c r="AE2" s="487"/>
      <c r="AF2" s="487"/>
      <c r="AG2" s="487"/>
      <c r="AH2" s="487"/>
      <c r="AI2" s="487"/>
      <c r="AJ2" s="488"/>
      <c r="AK2"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8"/>
      <c r="AN2" s="128" t="str">
        <f t="shared" ref="AN2:AN9" si="24">IF(T2="","",T2)</f>
        <v xml:space="preserve">Наименование тарифа</v>
      </c>
      <c r="AO2" s="128"/>
      <c r="AP2" s="128"/>
    </row>
    <row r="3" ht="23.25"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8"/>
      <c r="AC3" s="486" t="e">
        <f>INDEX(PT_DIFFERENTIATION_TER,MATCH(B3,PT_DIFFERENTIATION_TER_ID,0))</f>
        <v>#VALUE!</v>
      </c>
      <c r="AD3" s="487"/>
      <c r="AE3" s="487"/>
      <c r="AF3" s="487"/>
      <c r="AG3" s="487"/>
      <c r="AH3" s="487"/>
      <c r="AI3" s="487"/>
      <c r="AJ3" s="488"/>
      <c r="AK3" s="489" t="s">
        <v>388</v>
      </c>
      <c r="AM3" s="128"/>
      <c r="AN3" s="128" t="str">
        <f t="shared" si="24"/>
        <v xml:space="preserve">Территория действия тарифа</v>
      </c>
      <c r="AO3" s="128"/>
      <c r="AP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471</v>
      </c>
      <c r="U4" s="485"/>
      <c r="V4" s="486"/>
      <c r="W4" s="487"/>
      <c r="X4" s="487"/>
      <c r="Y4" s="487"/>
      <c r="Z4" s="487"/>
      <c r="AA4" s="487"/>
      <c r="AB4" s="488"/>
      <c r="AC4" s="486" t="e">
        <f>INDEX(PT_DIFFERENTIATION_CS,MATCH(C4,PT_DIFFERENTIATION_CS_ID,0))</f>
        <v>#VALUE!</v>
      </c>
      <c r="AD4" s="487"/>
      <c r="AE4" s="487"/>
      <c r="AF4" s="487"/>
      <c r="AG4" s="487"/>
      <c r="AH4" s="487"/>
      <c r="AI4" s="487"/>
      <c r="AJ4" s="488"/>
      <c r="AK4" s="489" t="s">
        <v>472</v>
      </c>
      <c r="AM4" s="128"/>
      <c r="AN4" s="128" t="str">
        <f t="shared" si="24"/>
        <v xml:space="preserve">Наименование централизованной системы холодного водоснабжения</v>
      </c>
      <c r="AO4" s="128"/>
      <c r="AP4" s="128"/>
    </row>
    <row r="5" ht="23.25" hidden="1" customHeight="1">
      <c r="A5" s="478"/>
      <c r="B5" s="478"/>
      <c r="C5" s="478"/>
      <c r="D5" s="478"/>
      <c r="E5" s="490"/>
      <c r="F5" s="490"/>
      <c r="G5" s="490"/>
      <c r="H5" s="490"/>
      <c r="I5" s="167" t="e">
        <f>S4&amp;".1"</f>
        <v>#VALUE!</v>
      </c>
      <c r="J5" s="478"/>
      <c r="K5" s="478"/>
      <c r="L5" s="480"/>
      <c r="P5" s="131">
        <v>1</v>
      </c>
      <c r="Q5" s="131"/>
      <c r="R5" s="497"/>
      <c r="S5" s="483" t="e">
        <f>$I5</f>
        <v>#VALUE!</v>
      </c>
      <c r="T5" s="498" t="s">
        <v>473</v>
      </c>
      <c r="U5" s="485"/>
      <c r="V5" s="658"/>
      <c r="W5" s="659"/>
      <c r="X5" s="659"/>
      <c r="Y5" s="659"/>
      <c r="Z5" s="659"/>
      <c r="AA5" s="659"/>
      <c r="AB5" s="660"/>
      <c r="AC5" s="661"/>
      <c r="AD5" s="662"/>
      <c r="AE5" s="662"/>
      <c r="AF5" s="662"/>
      <c r="AG5" s="662"/>
      <c r="AH5" s="662"/>
      <c r="AI5" s="662"/>
      <c r="AJ5" s="663"/>
      <c r="AK5" s="489" t="s">
        <v>474</v>
      </c>
      <c r="AM5" s="128"/>
      <c r="AN5" s="128" t="str">
        <f t="shared" si="24"/>
        <v xml:space="preserve">Наименование признака дифференциации</v>
      </c>
      <c r="AO5" s="128"/>
      <c r="AP5" s="128"/>
    </row>
    <row r="6" ht="23.25" hidden="1" customHeight="1">
      <c r="A6" s="478"/>
      <c r="B6" s="478"/>
      <c r="C6" s="478"/>
      <c r="D6" s="478"/>
      <c r="E6" s="490"/>
      <c r="F6" s="490"/>
      <c r="G6" s="490"/>
      <c r="H6" s="490"/>
      <c r="I6" s="501"/>
      <c r="J6" s="167" t="e">
        <f>I5&amp;".1"</f>
        <v>#VALUE!</v>
      </c>
      <c r="K6" s="478"/>
      <c r="L6" s="480" t="s">
        <v>396</v>
      </c>
      <c r="P6" s="131"/>
      <c r="Q6" s="131">
        <v>1</v>
      </c>
      <c r="R6" s="502"/>
      <c r="S6" s="483" t="e">
        <f>$J6</f>
        <v>#VALUE!</v>
      </c>
      <c r="T6" s="503" t="s">
        <v>397</v>
      </c>
      <c r="U6" s="485"/>
      <c r="V6" s="430"/>
      <c r="W6" s="499"/>
      <c r="X6" s="499"/>
      <c r="Y6" s="499"/>
      <c r="Z6" s="499"/>
      <c r="AA6" s="499"/>
      <c r="AB6" s="500"/>
      <c r="AC6" s="430"/>
      <c r="AD6" s="499"/>
      <c r="AE6" s="499"/>
      <c r="AF6" s="499"/>
      <c r="AG6" s="499"/>
      <c r="AH6" s="499"/>
      <c r="AI6" s="499"/>
      <c r="AJ6" s="500"/>
      <c r="AK6" s="593" t="s">
        <v>475</v>
      </c>
      <c r="AM6" s="128"/>
      <c r="AN6" s="128" t="str">
        <f t="shared" si="24"/>
        <v xml:space="preserve">Группа потребителей</v>
      </c>
      <c r="AO6" s="128"/>
      <c r="AP6" s="128"/>
    </row>
    <row r="7" ht="23.25" hidden="1" customHeight="1">
      <c r="A7" s="478"/>
      <c r="B7" s="478"/>
      <c r="C7" s="478"/>
      <c r="D7" s="478"/>
      <c r="E7" s="490"/>
      <c r="F7" s="490"/>
      <c r="G7" s="490"/>
      <c r="H7" s="490"/>
      <c r="I7" s="501"/>
      <c r="J7" s="501"/>
      <c r="K7" s="167" t="e">
        <f>J6&amp;".1"</f>
        <v>#VALUE!</v>
      </c>
      <c r="L7" s="480"/>
      <c r="P7" s="131"/>
      <c r="Q7" s="131"/>
      <c r="R7" s="502">
        <v>1</v>
      </c>
      <c r="S7" s="483" t="e">
        <f>$K7</f>
        <v>#VALUE!</v>
      </c>
      <c r="T7" s="664"/>
      <c r="U7" s="485"/>
      <c r="V7" s="505"/>
      <c r="W7" s="505"/>
      <c r="X7" s="507"/>
      <c r="Y7" s="508"/>
      <c r="Z7" s="225" t="s">
        <v>56</v>
      </c>
      <c r="AA7" s="508"/>
      <c r="AB7" s="225" t="s">
        <v>56</v>
      </c>
      <c r="AC7" s="505"/>
      <c r="AD7" s="505"/>
      <c r="AE7" s="507"/>
      <c r="AF7" s="508"/>
      <c r="AG7" s="225" t="s">
        <v>56</v>
      </c>
      <c r="AH7" s="568"/>
      <c r="AI7" s="225" t="s">
        <v>56</v>
      </c>
      <c r="AJ7" s="665"/>
      <c r="AK7"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8"/>
      <c r="AN7" s="128" t="str">
        <f t="shared" si="24"/>
        <v/>
      </c>
      <c r="AO7" s="128"/>
      <c r="AP7" s="128"/>
    </row>
    <row r="8" ht="14.25" hidden="1" customHeight="1">
      <c r="A8" s="478"/>
      <c r="B8" s="478"/>
      <c r="C8" s="478"/>
      <c r="D8" s="478"/>
      <c r="E8" s="490"/>
      <c r="F8" s="490"/>
      <c r="G8" s="490"/>
      <c r="H8" s="490"/>
      <c r="I8" s="501"/>
      <c r="J8" s="501"/>
      <c r="K8" s="167"/>
      <c r="L8" s="480"/>
      <c r="P8" s="131"/>
      <c r="Q8" s="131"/>
      <c r="R8" s="502"/>
      <c r="S8" s="457"/>
      <c r="T8" s="485"/>
      <c r="U8" s="485"/>
      <c r="V8" s="506"/>
      <c r="W8" s="506"/>
      <c r="X8" s="510" t="str">
        <f>Y7&amp;"-"&amp;AA7</f>
        <v>-</v>
      </c>
      <c r="Y8" s="511"/>
      <c r="Z8" s="225"/>
      <c r="AA8" s="511"/>
      <c r="AB8" s="225"/>
      <c r="AC8" s="506"/>
      <c r="AD8" s="506"/>
      <c r="AE8" s="510" t="str">
        <f>AF7&amp;"-"&amp;AH7</f>
        <v>-</v>
      </c>
      <c r="AF8" s="511"/>
      <c r="AG8" s="225"/>
      <c r="AH8" s="570"/>
      <c r="AI8" s="225"/>
      <c r="AJ8" s="667"/>
      <c r="AK8" s="666"/>
      <c r="AM8" s="128"/>
      <c r="AN8" s="128" t="str">
        <f t="shared" si="24"/>
        <v/>
      </c>
      <c r="AO8" s="128"/>
      <c r="AP8" s="128"/>
    </row>
    <row r="9" ht="21" hidden="1" customHeight="1">
      <c r="A9" s="478"/>
      <c r="B9" s="478"/>
      <c r="C9" s="478"/>
      <c r="D9" s="478"/>
      <c r="E9" s="490"/>
      <c r="F9" s="490"/>
      <c r="G9" s="490"/>
      <c r="H9" s="490"/>
      <c r="I9" s="501"/>
      <c r="J9" s="167"/>
      <c r="K9" s="478"/>
      <c r="L9" s="480"/>
      <c r="P9" s="131"/>
      <c r="Q9" s="131"/>
      <c r="R9" s="497"/>
      <c r="S9" s="513"/>
      <c r="T9" s="517" t="s">
        <v>476</v>
      </c>
      <c r="U9" s="215"/>
      <c r="V9" s="215"/>
      <c r="W9" s="215"/>
      <c r="X9" s="215"/>
      <c r="Y9" s="215"/>
      <c r="Z9" s="215"/>
      <c r="AA9" s="215"/>
      <c r="AB9" s="215"/>
      <c r="AC9" s="215"/>
      <c r="AD9" s="215"/>
      <c r="AE9" s="215"/>
      <c r="AF9" s="215"/>
      <c r="AG9" s="215"/>
      <c r="AH9" s="215"/>
      <c r="AI9" s="215"/>
      <c r="AJ9" s="215"/>
      <c r="AK9" s="489" t="s">
        <v>477</v>
      </c>
      <c r="AM9" s="128"/>
      <c r="AN9" s="128" t="str">
        <f t="shared" si="24"/>
        <v xml:space="preserve">Добавить значение признака дифференциации</v>
      </c>
      <c r="AO9" s="128"/>
      <c r="AP9" s="128"/>
    </row>
    <row r="10" ht="21" hidden="1" customHeight="1">
      <c r="A10" s="478"/>
      <c r="B10" s="478"/>
      <c r="C10" s="478"/>
      <c r="D10" s="478"/>
      <c r="E10" s="490"/>
      <c r="F10" s="490"/>
      <c r="G10" s="490"/>
      <c r="H10" s="490"/>
      <c r="I10" s="167"/>
      <c r="J10" s="478"/>
      <c r="K10" s="478"/>
      <c r="L10" s="480"/>
      <c r="P10" s="131"/>
      <c r="Q10" s="131"/>
      <c r="R10" s="497"/>
      <c r="S10" s="513"/>
      <c r="T10" s="521" t="s">
        <v>402</v>
      </c>
      <c r="U10" s="215"/>
      <c r="V10" s="215"/>
      <c r="W10" s="215"/>
      <c r="X10" s="215"/>
      <c r="Y10" s="215"/>
      <c r="Z10" s="215"/>
      <c r="AA10" s="215"/>
      <c r="AB10" s="518"/>
      <c r="AC10" s="215"/>
      <c r="AD10" s="215"/>
      <c r="AE10" s="215"/>
      <c r="AF10" s="215"/>
      <c r="AG10" s="215"/>
      <c r="AH10" s="215"/>
      <c r="AI10" s="518"/>
      <c r="AJ10" s="215"/>
      <c r="AK10" s="668"/>
      <c r="AM10" s="128"/>
      <c r="AN10" s="128" t="str">
        <f t="shared" ref="AN10:AN53" si="25">IF(T10="","",T10)</f>
        <v xml:space="preserve">Добавить группу потребителей</v>
      </c>
      <c r="AO10" s="128"/>
      <c r="AP10" s="128"/>
    </row>
    <row r="11" ht="21" hidden="1" customHeight="1">
      <c r="A11" s="478"/>
      <c r="B11" s="478"/>
      <c r="C11" s="478"/>
      <c r="D11" s="478"/>
      <c r="E11" s="490"/>
      <c r="F11" s="490"/>
      <c r="G11" s="490"/>
      <c r="H11" s="479"/>
      <c r="I11" s="478"/>
      <c r="J11" s="478"/>
      <c r="K11" s="478"/>
      <c r="L11" s="480"/>
      <c r="M11" s="481"/>
      <c r="N11" s="481"/>
      <c r="O11" s="53"/>
      <c r="P11" s="142"/>
      <c r="Q11" s="520"/>
      <c r="R11" s="482"/>
      <c r="S11" s="513"/>
      <c r="T11" s="669" t="s">
        <v>478</v>
      </c>
      <c r="U11" s="215"/>
      <c r="V11" s="215"/>
      <c r="W11" s="215"/>
      <c r="X11" s="215"/>
      <c r="Y11" s="215"/>
      <c r="Z11" s="215"/>
      <c r="AA11" s="215"/>
      <c r="AB11" s="518"/>
      <c r="AC11" s="215"/>
      <c r="AD11" s="215"/>
      <c r="AE11" s="215"/>
      <c r="AF11" s="215"/>
      <c r="AG11" s="215"/>
      <c r="AH11" s="215"/>
      <c r="AI11" s="518"/>
      <c r="AJ11" s="215"/>
      <c r="AK11" s="519"/>
      <c r="AM11" s="128"/>
      <c r="AN11" s="128" t="str">
        <f t="shared" si="25"/>
        <v xml:space="preserve">Добавить наименование признака дифференциации</v>
      </c>
      <c r="AO11" s="128"/>
      <c r="AP11" s="128"/>
    </row>
    <row r="12" s="57" customFormat="1" ht="14.25" hidden="1" customHeight="1">
      <c r="A12" s="132"/>
      <c r="B12" s="132"/>
      <c r="C12" s="132"/>
      <c r="D12" s="132"/>
      <c r="E12" s="490"/>
      <c r="F12" s="479"/>
      <c r="G12" s="132"/>
      <c r="H12" s="132"/>
      <c r="I12" s="132"/>
      <c r="J12" s="132"/>
      <c r="K12" s="132"/>
      <c r="L12" s="213"/>
      <c r="M12" s="526"/>
      <c r="N12" s="526"/>
      <c r="P12" s="166"/>
      <c r="Q12" s="522"/>
      <c r="R12" s="166"/>
      <c r="S12" s="527"/>
      <c r="T12" s="530" t="s">
        <v>405</v>
      </c>
      <c r="U12" s="529"/>
      <c r="V12" s="529"/>
      <c r="W12" s="529"/>
      <c r="X12" s="529"/>
      <c r="Y12" s="529"/>
      <c r="Z12" s="529"/>
      <c r="AA12" s="529"/>
      <c r="AB12" s="529"/>
      <c r="AC12" s="529"/>
      <c r="AD12" s="529"/>
      <c r="AE12" s="529"/>
      <c r="AF12" s="529"/>
      <c r="AG12" s="529"/>
      <c r="AH12" s="529"/>
      <c r="AI12" s="529"/>
      <c r="AJ12" s="529"/>
      <c r="AK12" s="529"/>
      <c r="AM12" s="128"/>
      <c r="AN12" s="128" t="str">
        <f t="shared" si="25"/>
        <v xml:space="preserve">Добавить централизованную систему для дифференциации</v>
      </c>
      <c r="AO12" s="128"/>
      <c r="AP12" s="128"/>
    </row>
    <row r="13" s="57" customFormat="1" ht="14.25" hidden="1" customHeight="1">
      <c r="A13" s="132"/>
      <c r="B13" s="132"/>
      <c r="C13" s="132"/>
      <c r="D13" s="132"/>
      <c r="E13" s="479"/>
      <c r="F13" s="132"/>
      <c r="G13" s="132"/>
      <c r="H13" s="132"/>
      <c r="I13" s="132"/>
      <c r="J13" s="132"/>
      <c r="K13" s="132"/>
      <c r="L13" s="213"/>
      <c r="M13" s="526"/>
      <c r="N13" s="526"/>
      <c r="O13" s="57"/>
      <c r="P13" s="166"/>
      <c r="Q13" s="522"/>
      <c r="R13" s="166"/>
      <c r="S13" s="527"/>
      <c r="T13" s="530" t="s">
        <v>406</v>
      </c>
      <c r="U13" s="529"/>
      <c r="V13" s="529"/>
      <c r="W13" s="529"/>
      <c r="X13" s="529"/>
      <c r="Y13" s="529"/>
      <c r="Z13" s="529"/>
      <c r="AA13" s="529"/>
      <c r="AB13" s="529"/>
      <c r="AC13" s="529"/>
      <c r="AD13" s="529"/>
      <c r="AE13" s="529"/>
      <c r="AF13" s="529"/>
      <c r="AG13" s="529"/>
      <c r="AH13" s="529"/>
      <c r="AI13" s="529"/>
      <c r="AJ13" s="529"/>
      <c r="AK13" s="529"/>
      <c r="AM13" s="128"/>
      <c r="AN13" s="128" t="str">
        <f t="shared" si="25"/>
        <v xml:space="preserve">Добавить территорию для дифференциации</v>
      </c>
      <c r="AO13" s="128"/>
      <c r="AP13" s="128"/>
    </row>
    <row r="14" ht="14.25" hidden="1" customHeight="1">
      <c r="AB14" s="50"/>
      <c r="AI14" s="50"/>
    </row>
    <row r="15" ht="14.25" hidden="1" customHeight="1">
      <c r="AC15" s="531"/>
      <c r="AD15" s="531"/>
      <c r="AE15" s="532"/>
      <c r="AF15" s="533"/>
      <c r="AG15" s="534" t="s">
        <v>56</v>
      </c>
      <c r="AH15" s="533"/>
      <c r="AI15" s="534" t="s">
        <v>56</v>
      </c>
    </row>
    <row r="16" ht="14.25" hidden="1" customHeight="1">
      <c r="AC16" s="531"/>
      <c r="AD16" s="531"/>
      <c r="AE16" s="510" t="str">
        <f>AF15&amp;"-"&amp;AH15</f>
        <v>-</v>
      </c>
      <c r="AF16" s="534"/>
      <c r="AG16" s="534"/>
      <c r="AH16" s="534"/>
      <c r="AI16" s="534"/>
    </row>
    <row r="17" ht="14.25" hidden="1" customHeight="1">
      <c r="AI17" s="50"/>
    </row>
    <row r="18" s="53" customFormat="1" ht="22.5" hidden="1" customHeight="1">
      <c r="L18" s="113"/>
      <c r="M18" s="61"/>
      <c r="N18" s="61"/>
      <c r="O18" s="535" t="s">
        <v>407</v>
      </c>
      <c r="P18" s="61"/>
      <c r="Q18" s="536"/>
      <c r="R18" s="536"/>
      <c r="S18" s="481"/>
      <c r="Y18" s="535"/>
      <c r="AA18" s="535"/>
      <c r="AB18" s="53"/>
      <c r="AF18" s="535"/>
      <c r="AH18" s="535"/>
      <c r="AI18" s="53"/>
      <c r="AL18" s="57"/>
      <c r="AM18" s="57"/>
      <c r="AN18" s="57"/>
      <c r="AO18" s="57"/>
      <c r="AP18" s="57"/>
    </row>
    <row r="19" s="53" customFormat="1" ht="14.25" hidden="1" customHeight="1">
      <c r="L19" s="113"/>
      <c r="M19" s="61"/>
      <c r="N19" s="61"/>
      <c r="O19" s="61"/>
      <c r="P19" s="61"/>
      <c r="Q19" s="536"/>
      <c r="R19" s="536"/>
      <c r="S19" s="481"/>
      <c r="AB19" s="53"/>
      <c r="AI19" s="53"/>
      <c r="AL19" s="57"/>
      <c r="AM19" s="57"/>
      <c r="AN19" s="57"/>
      <c r="AO19" s="57"/>
      <c r="AP19" s="57"/>
    </row>
    <row r="20" s="53" customFormat="1" ht="12" hidden="1" customHeight="1">
      <c r="L20" s="113"/>
      <c r="M20" s="61"/>
      <c r="N20" s="61"/>
      <c r="O20" s="480" t="s">
        <v>408</v>
      </c>
      <c r="P20" s="61"/>
      <c r="Q20" s="670"/>
      <c r="R20" s="670"/>
      <c r="S20" s="481"/>
      <c r="T20" s="53" t="s">
        <v>409</v>
      </c>
      <c r="Z20" s="150" t="s">
        <v>410</v>
      </c>
      <c r="AB20" s="150" t="s">
        <v>411</v>
      </c>
      <c r="AC20" s="53" t="s">
        <v>409</v>
      </c>
      <c r="AG20" s="150" t="s">
        <v>412</v>
      </c>
      <c r="AI20" s="150" t="s">
        <v>411</v>
      </c>
    </row>
    <row r="21" ht="14.25" hidden="1" customHeight="1">
      <c r="O21" s="480"/>
    </row>
    <row r="22" ht="14.25" hidden="1" customHeight="1">
      <c r="O22" s="480"/>
    </row>
    <row r="23" ht="14.25" customHeight="1">
      <c r="Q23" s="537"/>
      <c r="R23" s="537"/>
      <c r="S23" s="538"/>
      <c r="T23" s="89"/>
      <c r="U23" s="89"/>
      <c r="V23" s="50"/>
      <c r="W23" s="50"/>
      <c r="X23" s="50"/>
      <c r="Y23" s="50"/>
      <c r="Z23" s="50"/>
      <c r="AA23" s="50"/>
      <c r="AB23" s="50"/>
      <c r="AC23" s="50"/>
      <c r="AD23" s="50"/>
      <c r="AE23" s="50"/>
      <c r="AF23" s="50"/>
      <c r="AG23" s="50"/>
      <c r="AH23" s="50"/>
      <c r="AI23" s="50"/>
    </row>
    <row r="24" ht="14.25" customHeight="1">
      <c r="Q24" s="537"/>
      <c r="R24" s="537"/>
      <c r="S24" s="45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51"/>
      <c r="U24" s="451"/>
      <c r="V24" s="451"/>
      <c r="W24" s="451"/>
      <c r="X24" s="451"/>
      <c r="Y24" s="451"/>
      <c r="Z24" s="451"/>
      <c r="AA24" s="451"/>
      <c r="AB24" s="451"/>
      <c r="AC24" s="451"/>
      <c r="AD24" s="451"/>
      <c r="AE24" s="451"/>
      <c r="AF24" s="451"/>
      <c r="AG24" s="451"/>
      <c r="AH24" s="451"/>
      <c r="AI24" s="241"/>
    </row>
    <row r="25" ht="14.25" customHeight="1">
      <c r="Q25" s="537"/>
      <c r="R25" s="537"/>
      <c r="S25" s="302" t="str">
        <f>IF(org=0,"Не определено",org)</f>
        <v xml:space="preserve">филиал ПАО "ОГК-2" - Адлерская ТЭС</v>
      </c>
      <c r="T25" s="302"/>
      <c r="U25" s="302"/>
      <c r="V25" s="302"/>
      <c r="W25" s="302"/>
      <c r="X25" s="302"/>
      <c r="Y25" s="302"/>
      <c r="Z25" s="302"/>
      <c r="AA25" s="302"/>
      <c r="AB25" s="302"/>
      <c r="AC25" s="302"/>
      <c r="AD25" s="302"/>
      <c r="AE25" s="302"/>
      <c r="AF25" s="302"/>
      <c r="AG25" s="302"/>
      <c r="AH25" s="302"/>
      <c r="AI25" s="241"/>
    </row>
    <row r="26" ht="14.25" hidden="1" customHeight="1">
      <c r="Q26" s="537"/>
      <c r="R26" s="537"/>
      <c r="S26" s="538"/>
      <c r="T26" s="89"/>
      <c r="U26" s="89"/>
      <c r="V26" s="539"/>
      <c r="W26" s="539"/>
      <c r="X26" s="539"/>
      <c r="Y26" s="539"/>
      <c r="Z26" s="539"/>
      <c r="AA26" s="539"/>
      <c r="AB26" s="539"/>
      <c r="AC26" s="539"/>
      <c r="AD26" s="539"/>
      <c r="AE26" s="539"/>
      <c r="AF26" s="539"/>
      <c r="AG26" s="539"/>
      <c r="AH26" s="539"/>
      <c r="AI26" s="539"/>
      <c r="AJ26" s="50"/>
    </row>
    <row r="27" s="185" customFormat="1" ht="25.5" hidden="1" customHeight="1">
      <c r="A27" s="150"/>
      <c r="B27" s="150"/>
      <c r="C27" s="150"/>
      <c r="D27" s="150"/>
      <c r="E27" s="150"/>
      <c r="F27" s="150"/>
      <c r="G27" s="150"/>
      <c r="H27" s="150"/>
      <c r="I27" s="150"/>
      <c r="J27" s="150"/>
      <c r="K27" s="150"/>
      <c r="L27" s="480"/>
      <c r="M27" s="150"/>
      <c r="N27" s="150"/>
      <c r="O27" s="150"/>
      <c r="S27" s="540" t="s">
        <v>38</v>
      </c>
      <c r="T27" s="540"/>
      <c r="U27" s="541"/>
      <c r="V27" s="542" t="str">
        <f>IF(TITLE_NAME_OR_PR_CHANGE="",IF(TITLE_NAME_OR_PR="","",TITLE_NAME_OR_PR),TITLE_NAME_OR_PR_CHANGE)</f>
        <v/>
      </c>
      <c r="W27" s="542"/>
      <c r="X27" s="542"/>
      <c r="Y27" s="542"/>
      <c r="Z27" s="542"/>
      <c r="AA27" s="542"/>
      <c r="AB27" s="50"/>
      <c r="AC27" s="542" t="str">
        <f>IF(TITLE_NAME_OR_PR_CHANGE="",IF(TITLE_NAME_OR_PR="","",TITLE_NAME_OR_PR),TITLE_NAME_OR_PR_CHANGE)</f>
        <v/>
      </c>
      <c r="AD27" s="542"/>
      <c r="AE27" s="542"/>
      <c r="AF27" s="542"/>
      <c r="AG27" s="542"/>
      <c r="AH27" s="542"/>
      <c r="AI27" s="50"/>
      <c r="AJ27" s="50"/>
      <c r="AK27" s="543"/>
      <c r="AL27" s="128"/>
      <c r="AM27" s="128"/>
      <c r="AN27" s="128"/>
      <c r="AO27" s="128"/>
      <c r="AP27" s="128"/>
    </row>
    <row r="28" s="185" customFormat="1" ht="18.75" hidden="1" customHeight="1">
      <c r="A28" s="150"/>
      <c r="B28" s="150"/>
      <c r="C28" s="150"/>
      <c r="D28" s="150"/>
      <c r="E28" s="150"/>
      <c r="F28" s="150"/>
      <c r="G28" s="150"/>
      <c r="H28" s="150"/>
      <c r="I28" s="150"/>
      <c r="J28" s="150"/>
      <c r="K28" s="150"/>
      <c r="L28" s="480"/>
      <c r="M28" s="150"/>
      <c r="N28" s="150"/>
      <c r="O28" s="150"/>
      <c r="S28" s="540" t="s">
        <v>413</v>
      </c>
      <c r="T28" s="540"/>
      <c r="U28" s="541"/>
      <c r="V28" s="544" t="str">
        <f>IF(TITLE_DATE_PR_CHANGE="",IF(TITLE_DATE_PR="","",TITLE_DATE_PR),TITLE_DATE_PR_CHANGE)</f>
        <v/>
      </c>
      <c r="W28" s="544"/>
      <c r="X28" s="544"/>
      <c r="Y28" s="544"/>
      <c r="Z28" s="544"/>
      <c r="AA28" s="544"/>
      <c r="AB28" s="50"/>
      <c r="AC28" s="544" t="str">
        <f>IF(TITLE_DATE_PR_CHANGE="",IF(TITLE_DATE_PR="","",TITLE_DATE_PR),TITLE_DATE_PR_CHANGE)</f>
        <v/>
      </c>
      <c r="AD28" s="544"/>
      <c r="AE28" s="544"/>
      <c r="AF28" s="544"/>
      <c r="AG28" s="544"/>
      <c r="AH28" s="544"/>
      <c r="AI28" s="50"/>
      <c r="AJ28" s="50"/>
      <c r="AK28" s="543"/>
      <c r="AL28" s="128"/>
      <c r="AM28" s="128"/>
      <c r="AN28" s="128"/>
      <c r="AO28" s="128"/>
      <c r="AP28" s="128"/>
    </row>
    <row r="29" s="185" customFormat="1" ht="18.75" hidden="1" customHeight="1">
      <c r="A29" s="150"/>
      <c r="B29" s="150"/>
      <c r="C29" s="150"/>
      <c r="D29" s="150"/>
      <c r="E29" s="150"/>
      <c r="F29" s="150"/>
      <c r="G29" s="150"/>
      <c r="H29" s="150"/>
      <c r="I29" s="150"/>
      <c r="J29" s="150"/>
      <c r="K29" s="150"/>
      <c r="L29" s="480"/>
      <c r="M29" s="150"/>
      <c r="N29" s="150"/>
      <c r="O29" s="150"/>
      <c r="S29" s="540" t="s">
        <v>414</v>
      </c>
      <c r="T29" s="540"/>
      <c r="U29" s="541"/>
      <c r="V29" s="542" t="str">
        <f>IF(TITLE_NUMBER_PR_CHANGE="",IF(TITLE_NUMBER_PR="","",TITLE_NUMBER_PR),TITLE_NUMBER_PR_CHANGE)</f>
        <v/>
      </c>
      <c r="W29" s="542"/>
      <c r="X29" s="542"/>
      <c r="Y29" s="542"/>
      <c r="Z29" s="542"/>
      <c r="AA29" s="542"/>
      <c r="AB29" s="50"/>
      <c r="AC29" s="542" t="str">
        <f>IF(TITLE_NUMBER_PR_CHANGE="",IF(TITLE_NUMBER_PR="","",TITLE_NUMBER_PR),TITLE_NUMBER_PR_CHANGE)</f>
        <v/>
      </c>
      <c r="AD29" s="542"/>
      <c r="AE29" s="542"/>
      <c r="AF29" s="542"/>
      <c r="AG29" s="542"/>
      <c r="AH29" s="542"/>
      <c r="AI29" s="50"/>
      <c r="AJ29" s="50"/>
      <c r="AK29" s="543"/>
      <c r="AL29" s="128"/>
      <c r="AM29" s="128"/>
      <c r="AN29" s="128"/>
      <c r="AO29" s="128"/>
      <c r="AP29" s="128"/>
    </row>
    <row r="30" s="185" customFormat="1" ht="18.75" hidden="1" customHeight="1">
      <c r="A30" s="150"/>
      <c r="B30" s="150"/>
      <c r="C30" s="150"/>
      <c r="D30" s="150"/>
      <c r="E30" s="150"/>
      <c r="F30" s="150"/>
      <c r="G30" s="150"/>
      <c r="H30" s="150"/>
      <c r="I30" s="150"/>
      <c r="J30" s="150"/>
      <c r="K30" s="150"/>
      <c r="L30" s="480"/>
      <c r="M30" s="150"/>
      <c r="N30" s="150"/>
      <c r="O30" s="150"/>
      <c r="S30" s="540" t="s">
        <v>39</v>
      </c>
      <c r="T30" s="540"/>
      <c r="U30" s="541"/>
      <c r="V30" s="542" t="str">
        <f>IF(TITLE_IST_PUB_CHANGE="",IF(TITLE_IST_PUB="","",TITLE_IST_PUB),TITLE_IST_PUB_CHANGE)</f>
        <v/>
      </c>
      <c r="W30" s="542"/>
      <c r="X30" s="542"/>
      <c r="Y30" s="542"/>
      <c r="Z30" s="542"/>
      <c r="AA30" s="542"/>
      <c r="AB30" s="50"/>
      <c r="AC30" s="542" t="str">
        <f>IF(TITLE_IST_PUB_CHANGE="",IF(TITLE_IST_PUB="","",TITLE_IST_PUB),TITLE_IST_PUB_CHANGE)</f>
        <v/>
      </c>
      <c r="AD30" s="542"/>
      <c r="AE30" s="542"/>
      <c r="AF30" s="542"/>
      <c r="AG30" s="542"/>
      <c r="AH30" s="542"/>
      <c r="AI30" s="50"/>
      <c r="AJ30" s="50"/>
      <c r="AK30" s="543"/>
      <c r="AL30" s="128"/>
      <c r="AM30" s="128"/>
      <c r="AN30" s="128"/>
      <c r="AO30" s="128"/>
      <c r="AP30" s="128"/>
    </row>
    <row r="31" ht="14.25" hidden="1" customHeight="1">
      <c r="Q31" s="537"/>
      <c r="R31" s="537"/>
      <c r="S31" s="538"/>
      <c r="T31" s="89"/>
      <c r="U31" s="89"/>
      <c r="V31" s="539"/>
      <c r="W31" s="539"/>
      <c r="X31" s="539"/>
      <c r="Y31" s="539"/>
      <c r="Z31" s="539"/>
      <c r="AA31" s="539"/>
      <c r="AB31" s="539"/>
      <c r="AC31" s="539"/>
      <c r="AD31" s="539"/>
      <c r="AE31" s="539"/>
      <c r="AF31" s="539"/>
      <c r="AG31" s="539"/>
      <c r="AH31" s="539"/>
      <c r="AI31" s="539"/>
      <c r="AJ31" s="50"/>
    </row>
    <row r="32" s="185" customFormat="1" ht="18.75" hidden="1" customHeight="1">
      <c r="A32" s="150"/>
      <c r="B32" s="150"/>
      <c r="C32" s="150"/>
      <c r="D32" s="150"/>
      <c r="E32" s="150"/>
      <c r="F32" s="150"/>
      <c r="G32" s="150"/>
      <c r="H32" s="150"/>
      <c r="I32" s="150"/>
      <c r="J32" s="150"/>
      <c r="K32" s="150"/>
      <c r="L32" s="480"/>
      <c r="M32" s="150"/>
      <c r="N32" s="150"/>
      <c r="O32" s="150"/>
      <c r="S32" s="540" t="s">
        <v>415</v>
      </c>
      <c r="T32" s="540"/>
      <c r="U32" s="541"/>
      <c r="V32" s="544" t="str">
        <f>IF(TITLE_DATE_PR_CHANGE="",IF(TITLE_DATE_PR="","",TITLE_DATE_PR),TITLE_DATE_PR_CHANGE)</f>
        <v/>
      </c>
      <c r="W32" s="544"/>
      <c r="X32" s="544"/>
      <c r="Y32" s="544"/>
      <c r="Z32" s="544"/>
      <c r="AA32" s="544"/>
      <c r="AB32" s="50"/>
      <c r="AC32" s="544" t="str">
        <f>IF(TITLE_DATE_PR_CHANGE="",IF(TITLE_DATE_PR="","",TITLE_DATE_PR),TITLE_DATE_PR_CHANGE)</f>
        <v/>
      </c>
      <c r="AD32" s="544"/>
      <c r="AE32" s="544"/>
      <c r="AF32" s="544"/>
      <c r="AG32" s="544"/>
      <c r="AH32" s="544"/>
      <c r="AI32" s="50"/>
      <c r="AJ32" s="50"/>
      <c r="AK32" s="543"/>
      <c r="AL32" s="128"/>
      <c r="AM32" s="128"/>
      <c r="AN32" s="128"/>
      <c r="AO32" s="128"/>
      <c r="AP32" s="128"/>
    </row>
    <row r="33" s="185" customFormat="1" ht="18.75" hidden="1" customHeight="1">
      <c r="A33" s="150"/>
      <c r="B33" s="150"/>
      <c r="C33" s="150"/>
      <c r="D33" s="150"/>
      <c r="E33" s="150"/>
      <c r="F33" s="150"/>
      <c r="G33" s="150"/>
      <c r="H33" s="150"/>
      <c r="I33" s="150"/>
      <c r="J33" s="150"/>
      <c r="K33" s="150"/>
      <c r="L33" s="480"/>
      <c r="M33" s="150"/>
      <c r="N33" s="150"/>
      <c r="O33" s="150"/>
      <c r="S33" s="540" t="s">
        <v>416</v>
      </c>
      <c r="T33" s="540"/>
      <c r="U33" s="541"/>
      <c r="V33" s="542" t="str">
        <f>IF(TITLE_NUMBER_PR_CHANGE="",IF(TITLE_NUMBER_PR="","",TITLE_NUMBER_PR),TITLE_NUMBER_PR_CHANGE)</f>
        <v/>
      </c>
      <c r="W33" s="542"/>
      <c r="X33" s="542"/>
      <c r="Y33" s="542"/>
      <c r="Z33" s="542"/>
      <c r="AA33" s="542"/>
      <c r="AB33" s="50"/>
      <c r="AC33" s="542" t="str">
        <f>IF(TITLE_NUMBER_PR_CHANGE="",IF(TITLE_NUMBER_PR="","",TITLE_NUMBER_PR),TITLE_NUMBER_PR_CHANGE)</f>
        <v/>
      </c>
      <c r="AD33" s="542"/>
      <c r="AE33" s="542"/>
      <c r="AF33" s="542"/>
      <c r="AG33" s="542"/>
      <c r="AH33" s="542"/>
      <c r="AI33" s="50"/>
      <c r="AJ33" s="50"/>
      <c r="AK33" s="543"/>
      <c r="AL33" s="128"/>
      <c r="AM33" s="128"/>
      <c r="AN33" s="128"/>
      <c r="AO33" s="128"/>
      <c r="AP33" s="128"/>
    </row>
    <row r="34" s="185" customFormat="1" ht="0.75" customHeight="1">
      <c r="A34" s="150"/>
      <c r="B34" s="150"/>
      <c r="C34" s="150"/>
      <c r="D34" s="150"/>
      <c r="E34" s="150"/>
      <c r="F34" s="150"/>
      <c r="G34" s="150"/>
      <c r="H34" s="150"/>
      <c r="I34" s="150"/>
      <c r="J34" s="150"/>
      <c r="K34" s="150"/>
      <c r="L34" s="480"/>
      <c r="M34" s="150"/>
      <c r="N34" s="150"/>
      <c r="O34" s="150"/>
      <c r="S34" s="50"/>
      <c r="T34" s="50"/>
      <c r="U34" s="139"/>
      <c r="V34" s="50"/>
      <c r="W34" s="50"/>
      <c r="X34" s="50"/>
      <c r="Y34" s="50"/>
      <c r="Z34" s="50"/>
      <c r="AA34" s="50"/>
      <c r="AB34" s="57" t="s">
        <v>417</v>
      </c>
      <c r="AC34" s="50"/>
      <c r="AD34" s="50"/>
      <c r="AE34" s="50"/>
      <c r="AF34" s="50"/>
      <c r="AG34" s="50"/>
      <c r="AH34" s="50"/>
      <c r="AI34" s="57" t="s">
        <v>417</v>
      </c>
      <c r="AL34" s="128"/>
      <c r="AM34" s="128"/>
      <c r="AN34" s="128"/>
      <c r="AO34" s="128"/>
      <c r="AP34" s="128"/>
    </row>
    <row r="35" ht="14.25" customHeight="1">
      <c r="Q35" s="537"/>
      <c r="R35" s="537"/>
      <c r="S35" s="538"/>
      <c r="T35" s="89"/>
      <c r="U35" s="545"/>
      <c r="V35" s="546"/>
      <c r="W35" s="546"/>
      <c r="X35" s="546"/>
      <c r="Y35" s="546"/>
      <c r="Z35" s="546"/>
      <c r="AA35" s="546"/>
      <c r="AB35" s="546"/>
      <c r="AC35" s="546"/>
      <c r="AD35" s="546"/>
      <c r="AE35" s="546"/>
      <c r="AF35" s="546"/>
      <c r="AG35" s="546"/>
      <c r="AH35" s="546"/>
      <c r="AI35" s="546"/>
    </row>
    <row r="36" ht="14.25" customHeight="1">
      <c r="Q36" s="537"/>
      <c r="R36" s="537"/>
      <c r="S36" s="156" t="s">
        <v>288</v>
      </c>
      <c r="T36" s="156"/>
      <c r="U36" s="156"/>
      <c r="V36" s="156"/>
      <c r="W36" s="156"/>
      <c r="X36" s="156"/>
      <c r="Y36" s="156"/>
      <c r="Z36" s="156"/>
      <c r="AA36" s="156"/>
      <c r="AB36" s="156"/>
      <c r="AC36" s="156"/>
      <c r="AD36" s="156"/>
      <c r="AE36" s="156"/>
      <c r="AF36" s="156"/>
      <c r="AG36" s="156"/>
      <c r="AH36" s="156"/>
      <c r="AI36" s="156"/>
      <c r="AJ36" s="156"/>
      <c r="AK36" s="156" t="s">
        <v>289</v>
      </c>
    </row>
    <row r="37" ht="14.25" customHeight="1">
      <c r="Q37" s="537"/>
      <c r="R37" s="537"/>
      <c r="S37" s="483" t="s">
        <v>85</v>
      </c>
      <c r="T37" s="347" t="s">
        <v>418</v>
      </c>
      <c r="U37" s="547"/>
      <c r="V37" s="548" t="s">
        <v>419</v>
      </c>
      <c r="W37" s="549"/>
      <c r="X37" s="549"/>
      <c r="Y37" s="549"/>
      <c r="Z37" s="549"/>
      <c r="AA37" s="550"/>
      <c r="AB37" s="551" t="s">
        <v>420</v>
      </c>
      <c r="AC37" s="548" t="s">
        <v>419</v>
      </c>
      <c r="AD37" s="549"/>
      <c r="AE37" s="549"/>
      <c r="AF37" s="549"/>
      <c r="AG37" s="549"/>
      <c r="AH37" s="550"/>
      <c r="AI37" s="551" t="s">
        <v>421</v>
      </c>
      <c r="AJ37" s="552" t="s">
        <v>422</v>
      </c>
      <c r="AK37" s="156"/>
    </row>
    <row r="38" ht="33.75" customHeight="1">
      <c r="Q38" s="537"/>
      <c r="R38" s="537"/>
      <c r="S38" s="483"/>
      <c r="T38" s="347"/>
      <c r="U38" s="553"/>
      <c r="V38" s="306" t="s">
        <v>479</v>
      </c>
      <c r="W38" s="73" t="s">
        <v>425</v>
      </c>
      <c r="X38" s="72"/>
      <c r="Y38" s="73" t="s">
        <v>426</v>
      </c>
      <c r="Z38" s="144"/>
      <c r="AA38" s="72"/>
      <c r="AB38" s="555"/>
      <c r="AC38" s="306" t="s">
        <v>479</v>
      </c>
      <c r="AD38" s="73" t="s">
        <v>425</v>
      </c>
      <c r="AE38" s="72"/>
      <c r="AF38" s="73" t="s">
        <v>426</v>
      </c>
      <c r="AG38" s="144"/>
      <c r="AH38" s="72"/>
      <c r="AI38" s="555"/>
      <c r="AJ38" s="556"/>
      <c r="AK38" s="156"/>
    </row>
    <row r="39" ht="33.75" customHeight="1">
      <c r="A39" s="150"/>
      <c r="B39" s="150" t="s">
        <v>137</v>
      </c>
      <c r="C39" s="150" t="s">
        <v>138</v>
      </c>
      <c r="D39" s="150" t="s">
        <v>139</v>
      </c>
      <c r="E39" s="480" t="s">
        <v>427</v>
      </c>
      <c r="F39" s="480" t="s">
        <v>428</v>
      </c>
      <c r="G39" s="480" t="s">
        <v>429</v>
      </c>
      <c r="H39" s="480"/>
      <c r="I39" s="480" t="s">
        <v>480</v>
      </c>
      <c r="J39" s="480" t="s">
        <v>432</v>
      </c>
      <c r="K39" s="480" t="s">
        <v>481</v>
      </c>
      <c r="L39" s="480" t="s">
        <v>408</v>
      </c>
      <c r="Q39" s="537"/>
      <c r="R39" s="537"/>
      <c r="S39" s="483"/>
      <c r="T39" s="347"/>
      <c r="U39" s="557"/>
      <c r="V39" s="306" t="s">
        <v>482</v>
      </c>
      <c r="W39" s="247" t="s">
        <v>483</v>
      </c>
      <c r="X39" s="247" t="s">
        <v>484</v>
      </c>
      <c r="Y39" s="247" t="s">
        <v>436</v>
      </c>
      <c r="Z39" s="414" t="s">
        <v>437</v>
      </c>
      <c r="AA39" s="416"/>
      <c r="AB39" s="559"/>
      <c r="AC39" s="306" t="s">
        <v>482</v>
      </c>
      <c r="AD39" s="247" t="s">
        <v>483</v>
      </c>
      <c r="AE39" s="247" t="s">
        <v>484</v>
      </c>
      <c r="AF39" s="247" t="s">
        <v>436</v>
      </c>
      <c r="AG39" s="414" t="s">
        <v>437</v>
      </c>
      <c r="AH39" s="416"/>
      <c r="AI39" s="559"/>
      <c r="AJ39" s="560"/>
      <c r="AK39" s="156"/>
    </row>
    <row r="40" s="130" customFormat="1" ht="0" customHeight="1">
      <c r="A40" s="150"/>
      <c r="B40" s="150"/>
      <c r="C40" s="150"/>
      <c r="D40" s="150"/>
      <c r="E40" s="150"/>
      <c r="F40" s="150"/>
      <c r="G40" s="150"/>
      <c r="H40" s="150"/>
      <c r="I40" s="150"/>
      <c r="J40" s="150"/>
      <c r="K40" s="150"/>
      <c r="L40" s="480"/>
      <c r="M40" s="61"/>
      <c r="N40" s="61"/>
      <c r="O40" s="61"/>
      <c r="P40" s="561"/>
      <c r="Q40" s="562"/>
      <c r="R40" s="563">
        <v>1</v>
      </c>
      <c r="S40" s="564" t="s">
        <v>111</v>
      </c>
      <c r="T40" s="565" t="s">
        <v>99</v>
      </c>
      <c r="U40" s="566" t="str">
        <f ca="1">OFFSET(U40,0,-1)</f>
        <v>2</v>
      </c>
      <c r="V40" s="567">
        <f ca="1">OFFSET(V40,0,-1)+1</f>
        <v>3</v>
      </c>
      <c r="W40" s="567">
        <f ca="1">OFFSET(W40,0,-1)+1</f>
        <v>4</v>
      </c>
      <c r="X40" s="567">
        <f ca="1">OFFSET(X40,0,-1)+1</f>
        <v>5</v>
      </c>
      <c r="Y40" s="567">
        <f ca="1">OFFSET(Y40,0,-1)+1</f>
        <v>6</v>
      </c>
      <c r="Z40" s="567">
        <f ca="1">OFFSET(Z40,0,-1)+1</f>
        <v>7</v>
      </c>
      <c r="AA40" s="567"/>
      <c r="AB40" s="567">
        <f ca="1">OFFSET(AB40,0,-2)+1</f>
        <v>8</v>
      </c>
      <c r="AC40" s="567">
        <f ca="1">OFFSET(AC40,0,-1)+1</f>
        <v>9</v>
      </c>
      <c r="AD40" s="567">
        <f ca="1">OFFSET(AD40,0,-1)+1</f>
        <v>10</v>
      </c>
      <c r="AE40" s="567">
        <f ca="1">OFFSET(AE40,0,-1)+1</f>
        <v>11</v>
      </c>
      <c r="AF40" s="567">
        <f ca="1">OFFSET(AF40,0,-1)+1</f>
        <v>12</v>
      </c>
      <c r="AG40" s="567">
        <f ca="1">OFFSET(AG40,0,-1)+1</f>
        <v>13</v>
      </c>
      <c r="AH40" s="567"/>
      <c r="AI40" s="567">
        <f ca="1">OFFSET(AI40,0,-2)+1</f>
        <v>14</v>
      </c>
      <c r="AJ40" s="566">
        <f ca="1">OFFSET(AJ40,0,-1)</f>
        <v>14</v>
      </c>
      <c r="AK40" s="567">
        <f ca="1">OFFSET(AK40,0,-1)+1</f>
        <v>15</v>
      </c>
      <c r="AL40" s="57"/>
      <c r="AM40" s="57"/>
      <c r="AN40" s="57"/>
      <c r="AO40" s="57"/>
      <c r="AP40" s="57"/>
    </row>
    <row r="41" ht="23.25" customHeight="1">
      <c r="A41" s="478" t="s">
        <v>224</v>
      </c>
      <c r="B41" s="478"/>
      <c r="C41" s="478"/>
      <c r="D41" s="478"/>
      <c r="E41" s="479">
        <v>1</v>
      </c>
      <c r="F41" s="478"/>
      <c r="G41" s="478"/>
      <c r="H41" s="478"/>
      <c r="I41" s="478"/>
      <c r="J41" s="478"/>
      <c r="K41" s="478"/>
      <c r="L41" s="480"/>
      <c r="M41" s="481"/>
      <c r="N41" s="481"/>
      <c r="O41" s="481"/>
      <c r="P41" s="60"/>
      <c r="Q41" s="142"/>
      <c r="R41" s="482"/>
      <c r="S41" s="483">
        <f>INDEX(PT_DIFFERENTIATION_NUM_NTAR,MATCH(A41,PT_DIFFERENTIATION_NTAR_ID,0))</f>
        <v>0</v>
      </c>
      <c r="T41" s="484" t="s">
        <v>125</v>
      </c>
      <c r="U41" s="485"/>
      <c r="V41" s="486"/>
      <c r="W41" s="487"/>
      <c r="X41" s="487"/>
      <c r="Y41" s="487"/>
      <c r="Z41" s="487"/>
      <c r="AA41" s="487"/>
      <c r="AB41" s="488"/>
      <c r="AC41" s="486" t="str">
        <f>INDEX(PT_DIFFERENTIATION_NTAR,MATCH(A41,PT_DIFFERENTIATION_NTAR_ID,0))</f>
        <v/>
      </c>
      <c r="AD41" s="487"/>
      <c r="AE41" s="487"/>
      <c r="AF41" s="487"/>
      <c r="AG41" s="487"/>
      <c r="AH41" s="487"/>
      <c r="AI41" s="487"/>
      <c r="AJ41" s="488"/>
      <c r="AK41"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8"/>
      <c r="AN41" s="128" t="str">
        <f t="shared" si="25"/>
        <v xml:space="preserve">Наименование тарифа</v>
      </c>
      <c r="AO41" s="128"/>
      <c r="AP41" s="128"/>
    </row>
    <row r="42" ht="23.25" customHeight="1">
      <c r="A42" s="478" t="s">
        <v>224</v>
      </c>
      <c r="B42" s="478" t="s">
        <v>225</v>
      </c>
      <c r="C42" s="478"/>
      <c r="D42" s="478"/>
      <c r="E42" s="490"/>
      <c r="F42" s="479">
        <v>1</v>
      </c>
      <c r="G42" s="478"/>
      <c r="H42" s="478"/>
      <c r="I42" s="478"/>
      <c r="J42" s="478"/>
      <c r="K42" s="478"/>
      <c r="L42" s="480"/>
      <c r="M42" s="481"/>
      <c r="N42" s="481"/>
      <c r="O42" s="481"/>
      <c r="P42" s="51"/>
      <c r="Q42" s="491"/>
      <c r="R42" s="492"/>
      <c r="S42" s="483" t="str">
        <f>INDEX(PT_DIFFERENTIATION_NUM_TER,MATCH(B42,PT_DIFFERENTIATION_TER_ID,0))</f>
        <v>.</v>
      </c>
      <c r="T42" s="493" t="s">
        <v>387</v>
      </c>
      <c r="U42" s="485"/>
      <c r="V42" s="486"/>
      <c r="W42" s="487"/>
      <c r="X42" s="487"/>
      <c r="Y42" s="487"/>
      <c r="Z42" s="487"/>
      <c r="AA42" s="487"/>
      <c r="AB42" s="488"/>
      <c r="AC42" s="486" t="str">
        <f>INDEX(PT_DIFFERENTIATION_TER,MATCH(B42,PT_DIFFERENTIATION_TER_ID,0))</f>
        <v/>
      </c>
      <c r="AD42" s="487"/>
      <c r="AE42" s="487"/>
      <c r="AF42" s="487"/>
      <c r="AG42" s="487"/>
      <c r="AH42" s="487"/>
      <c r="AI42" s="487"/>
      <c r="AJ42" s="488"/>
      <c r="AK42" s="489" t="s">
        <v>388</v>
      </c>
      <c r="AM42" s="128"/>
      <c r="AN42" s="128" t="str">
        <f t="shared" si="25"/>
        <v xml:space="preserve">Территория действия тарифа</v>
      </c>
      <c r="AO42" s="128"/>
      <c r="AP42" s="128"/>
    </row>
    <row r="43" ht="23.25" customHeight="1">
      <c r="A43" s="478" t="s">
        <v>224</v>
      </c>
      <c r="B43" s="478" t="s">
        <v>225</v>
      </c>
      <c r="C43" s="478" t="s">
        <v>226</v>
      </c>
      <c r="D43" s="478"/>
      <c r="E43" s="490"/>
      <c r="F43" s="490"/>
      <c r="G43" s="479">
        <v>1</v>
      </c>
      <c r="H43" s="478"/>
      <c r="I43" s="478"/>
      <c r="J43" s="478"/>
      <c r="K43" s="478"/>
      <c r="L43" s="480"/>
      <c r="M43" s="481"/>
      <c r="N43" s="481"/>
      <c r="O43" s="481"/>
      <c r="P43" s="494"/>
      <c r="Q43" s="491"/>
      <c r="R43" s="492"/>
      <c r="S43" s="483" t="str">
        <f>INDEX(PT_DIFFERENTIATION_NUM_CS,MATCH(C43,PT_DIFFERENTIATION_CS_ID,0))</f>
        <v>..</v>
      </c>
      <c r="T43" s="495" t="s">
        <v>471</v>
      </c>
      <c r="U43" s="485"/>
      <c r="V43" s="486"/>
      <c r="W43" s="487"/>
      <c r="X43" s="487"/>
      <c r="Y43" s="487"/>
      <c r="Z43" s="487"/>
      <c r="AA43" s="487"/>
      <c r="AB43" s="488"/>
      <c r="AC43" s="486" t="str">
        <f>INDEX(PT_DIFFERENTIATION_CS,MATCH(C43,PT_DIFFERENTIATION_CS_ID,0))</f>
        <v/>
      </c>
      <c r="AD43" s="487"/>
      <c r="AE43" s="487"/>
      <c r="AF43" s="487"/>
      <c r="AG43" s="487"/>
      <c r="AH43" s="487"/>
      <c r="AI43" s="487"/>
      <c r="AJ43" s="488"/>
      <c r="AK43" s="489" t="s">
        <v>472</v>
      </c>
      <c r="AM43" s="128"/>
      <c r="AN43" s="128" t="str">
        <f t="shared" si="25"/>
        <v xml:space="preserve">Наименование централизованной системы холодного водоснабжения</v>
      </c>
      <c r="AO43" s="128"/>
      <c r="AP43" s="128"/>
    </row>
    <row r="44" ht="23.25" customHeight="1">
      <c r="A44" s="478" t="s">
        <v>224</v>
      </c>
      <c r="B44" s="478" t="s">
        <v>225</v>
      </c>
      <c r="C44" s="478" t="s">
        <v>226</v>
      </c>
      <c r="D44" s="478" t="s">
        <v>487</v>
      </c>
      <c r="E44" s="490"/>
      <c r="F44" s="490"/>
      <c r="G44" s="490"/>
      <c r="H44" s="490"/>
      <c r="I44" s="167" t="str">
        <f>S43&amp;".1"</f>
        <v>...1</v>
      </c>
      <c r="J44" s="478"/>
      <c r="K44" s="478"/>
      <c r="L44" s="480"/>
      <c r="P44" s="131">
        <v>1</v>
      </c>
      <c r="Q44" s="131"/>
      <c r="R44" s="497"/>
      <c r="S44" s="483" t="str">
        <f>$I44</f>
        <v>...1</v>
      </c>
      <c r="T44" s="498" t="s">
        <v>473</v>
      </c>
      <c r="U44" s="485"/>
      <c r="V44" s="658"/>
      <c r="W44" s="659"/>
      <c r="X44" s="659"/>
      <c r="Y44" s="659"/>
      <c r="Z44" s="659"/>
      <c r="AA44" s="659"/>
      <c r="AB44" s="660"/>
      <c r="AC44" s="661"/>
      <c r="AD44" s="662"/>
      <c r="AE44" s="662"/>
      <c r="AF44" s="662"/>
      <c r="AG44" s="662"/>
      <c r="AH44" s="662"/>
      <c r="AI44" s="662"/>
      <c r="AJ44" s="663"/>
      <c r="AK44" s="489" t="s">
        <v>474</v>
      </c>
      <c r="AM44" s="128"/>
      <c r="AN44" s="128" t="str">
        <f t="shared" si="25"/>
        <v xml:space="preserve">Наименование признака дифференциации</v>
      </c>
      <c r="AO44" s="128"/>
      <c r="AP44" s="128"/>
    </row>
    <row r="45" ht="23.25" customHeight="1">
      <c r="A45" s="478" t="s">
        <v>224</v>
      </c>
      <c r="B45" s="478" t="s">
        <v>225</v>
      </c>
      <c r="C45" s="478" t="s">
        <v>226</v>
      </c>
      <c r="D45" s="478" t="s">
        <v>487</v>
      </c>
      <c r="E45" s="490"/>
      <c r="F45" s="490"/>
      <c r="G45" s="490"/>
      <c r="H45" s="490"/>
      <c r="I45" s="501"/>
      <c r="J45" s="167" t="str">
        <f>I44&amp;".1"</f>
        <v>...1.1</v>
      </c>
      <c r="K45" s="478"/>
      <c r="L45" s="480" t="s">
        <v>396</v>
      </c>
      <c r="P45" s="131"/>
      <c r="Q45" s="131">
        <v>1</v>
      </c>
      <c r="R45" s="502"/>
      <c r="S45" s="483" t="str">
        <f>$J45</f>
        <v>...1.1</v>
      </c>
      <c r="T45" s="503" t="s">
        <v>397</v>
      </c>
      <c r="U45" s="485"/>
      <c r="V45" s="430"/>
      <c r="W45" s="499"/>
      <c r="X45" s="499"/>
      <c r="Y45" s="499"/>
      <c r="Z45" s="499"/>
      <c r="AA45" s="499"/>
      <c r="AB45" s="500"/>
      <c r="AC45" s="430"/>
      <c r="AD45" s="499"/>
      <c r="AE45" s="499"/>
      <c r="AF45" s="499"/>
      <c r="AG45" s="499"/>
      <c r="AH45" s="499"/>
      <c r="AI45" s="499"/>
      <c r="AJ45" s="500"/>
      <c r="AK45" s="593" t="s">
        <v>475</v>
      </c>
      <c r="AM45" s="128"/>
      <c r="AN45" s="128" t="str">
        <f t="shared" si="25"/>
        <v xml:space="preserve">Группа потребителей</v>
      </c>
      <c r="AO45" s="128"/>
      <c r="AP45" s="128"/>
    </row>
    <row r="46" ht="23.25" customHeight="1">
      <c r="A46" s="478" t="s">
        <v>224</v>
      </c>
      <c r="B46" s="478" t="s">
        <v>225</v>
      </c>
      <c r="C46" s="478" t="s">
        <v>226</v>
      </c>
      <c r="D46" s="478" t="s">
        <v>487</v>
      </c>
      <c r="E46" s="490"/>
      <c r="F46" s="490"/>
      <c r="G46" s="490"/>
      <c r="H46" s="490"/>
      <c r="I46" s="501"/>
      <c r="J46" s="501"/>
      <c r="K46" s="167" t="str">
        <f>J45&amp;".1"</f>
        <v>...1.1.1</v>
      </c>
      <c r="L46" s="480"/>
      <c r="P46" s="131"/>
      <c r="Q46" s="131"/>
      <c r="R46" s="502">
        <v>1</v>
      </c>
      <c r="S46" s="483" t="str">
        <f>$K46</f>
        <v>...1.1.1</v>
      </c>
      <c r="T46" s="664"/>
      <c r="U46" s="485"/>
      <c r="V46" s="505"/>
      <c r="W46" s="505"/>
      <c r="X46" s="507"/>
      <c r="Y46" s="508"/>
      <c r="Z46" s="225" t="s">
        <v>56</v>
      </c>
      <c r="AA46" s="508"/>
      <c r="AB46" s="225" t="s">
        <v>56</v>
      </c>
      <c r="AC46" s="505"/>
      <c r="AD46" s="505"/>
      <c r="AE46" s="507"/>
      <c r="AF46" s="508"/>
      <c r="AG46" s="225" t="s">
        <v>56</v>
      </c>
      <c r="AH46" s="568"/>
      <c r="AI46" s="225" t="s">
        <v>56</v>
      </c>
      <c r="AJ46" s="665"/>
      <c r="AK46"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8"/>
      <c r="AN46" s="128" t="str">
        <f t="shared" si="25"/>
        <v/>
      </c>
      <c r="AO46" s="128"/>
      <c r="AP46" s="128"/>
    </row>
    <row r="47" ht="0" customHeight="1">
      <c r="A47" s="478" t="s">
        <v>224</v>
      </c>
      <c r="B47" s="478" t="s">
        <v>225</v>
      </c>
      <c r="C47" s="478" t="s">
        <v>226</v>
      </c>
      <c r="D47" s="478" t="s">
        <v>487</v>
      </c>
      <c r="E47" s="490"/>
      <c r="F47" s="490"/>
      <c r="G47" s="490"/>
      <c r="H47" s="490"/>
      <c r="I47" s="501"/>
      <c r="J47" s="501"/>
      <c r="K47" s="167"/>
      <c r="L47" s="480"/>
      <c r="P47" s="131"/>
      <c r="Q47" s="131"/>
      <c r="R47" s="502"/>
      <c r="S47" s="457"/>
      <c r="T47" s="485"/>
      <c r="U47" s="485"/>
      <c r="V47" s="506"/>
      <c r="W47" s="506"/>
      <c r="X47" s="510" t="str">
        <f>Y46&amp;"-"&amp;AA46</f>
        <v>-</v>
      </c>
      <c r="Y47" s="511"/>
      <c r="Z47" s="225"/>
      <c r="AA47" s="511"/>
      <c r="AB47" s="225"/>
      <c r="AC47" s="506"/>
      <c r="AD47" s="506"/>
      <c r="AE47" s="510" t="str">
        <f>AF46&amp;"-"&amp;AH46</f>
        <v>-</v>
      </c>
      <c r="AF47" s="511"/>
      <c r="AG47" s="225"/>
      <c r="AH47" s="570"/>
      <c r="AI47" s="225"/>
      <c r="AJ47" s="667"/>
      <c r="AK47" s="666"/>
      <c r="AM47" s="128"/>
      <c r="AN47" s="128" t="str">
        <f t="shared" si="25"/>
        <v/>
      </c>
      <c r="AO47" s="128"/>
      <c r="AP47" s="128"/>
    </row>
    <row r="48" ht="21" customHeight="1">
      <c r="A48" s="478" t="s">
        <v>224</v>
      </c>
      <c r="B48" s="478" t="s">
        <v>225</v>
      </c>
      <c r="C48" s="478" t="s">
        <v>226</v>
      </c>
      <c r="D48" s="478" t="s">
        <v>487</v>
      </c>
      <c r="E48" s="490"/>
      <c r="F48" s="490"/>
      <c r="G48" s="490"/>
      <c r="H48" s="490"/>
      <c r="I48" s="501"/>
      <c r="J48" s="167"/>
      <c r="K48" s="478"/>
      <c r="L48" s="480"/>
      <c r="P48" s="131"/>
      <c r="Q48" s="131"/>
      <c r="R48" s="497"/>
      <c r="S48" s="513"/>
      <c r="T48" s="517" t="s">
        <v>476</v>
      </c>
      <c r="U48" s="215"/>
      <c r="V48" s="215"/>
      <c r="W48" s="215"/>
      <c r="X48" s="215"/>
      <c r="Y48" s="215"/>
      <c r="Z48" s="215"/>
      <c r="AA48" s="215"/>
      <c r="AB48" s="215"/>
      <c r="AC48" s="215"/>
      <c r="AD48" s="215"/>
      <c r="AE48" s="215"/>
      <c r="AF48" s="215"/>
      <c r="AG48" s="215"/>
      <c r="AH48" s="215"/>
      <c r="AI48" s="215"/>
      <c r="AJ48" s="215"/>
      <c r="AK48" s="489" t="s">
        <v>477</v>
      </c>
      <c r="AM48" s="128"/>
      <c r="AN48" s="128" t="str">
        <f t="shared" si="25"/>
        <v xml:space="preserve">Добавить значение признака дифференциации</v>
      </c>
      <c r="AO48" s="128"/>
      <c r="AP48" s="128"/>
    </row>
    <row r="49" ht="21" customHeight="1">
      <c r="A49" s="478" t="s">
        <v>224</v>
      </c>
      <c r="B49" s="478" t="s">
        <v>225</v>
      </c>
      <c r="C49" s="478" t="s">
        <v>226</v>
      </c>
      <c r="D49" s="478" t="s">
        <v>487</v>
      </c>
      <c r="E49" s="490"/>
      <c r="F49" s="490"/>
      <c r="G49" s="490"/>
      <c r="H49" s="490"/>
      <c r="I49" s="167"/>
      <c r="J49" s="478"/>
      <c r="K49" s="478"/>
      <c r="L49" s="480"/>
      <c r="P49" s="131"/>
      <c r="Q49" s="131"/>
      <c r="R49" s="497"/>
      <c r="S49" s="513"/>
      <c r="T49" s="521" t="s">
        <v>402</v>
      </c>
      <c r="U49" s="215"/>
      <c r="V49" s="215"/>
      <c r="W49" s="215"/>
      <c r="X49" s="215"/>
      <c r="Y49" s="215"/>
      <c r="Z49" s="215"/>
      <c r="AA49" s="215"/>
      <c r="AB49" s="518"/>
      <c r="AC49" s="215"/>
      <c r="AD49" s="215"/>
      <c r="AE49" s="215"/>
      <c r="AF49" s="215"/>
      <c r="AG49" s="215"/>
      <c r="AH49" s="215"/>
      <c r="AI49" s="518"/>
      <c r="AJ49" s="215"/>
      <c r="AK49" s="668"/>
      <c r="AM49" s="128"/>
      <c r="AN49" s="128" t="str">
        <f t="shared" si="25"/>
        <v xml:space="preserve">Добавить группу потребителей</v>
      </c>
      <c r="AO49" s="128"/>
      <c r="AP49" s="128"/>
    </row>
    <row r="50" ht="21" customHeight="1">
      <c r="A50" s="478" t="s">
        <v>224</v>
      </c>
      <c r="B50" s="478" t="s">
        <v>225</v>
      </c>
      <c r="C50" s="478" t="s">
        <v>226</v>
      </c>
      <c r="D50" s="478" t="s">
        <v>487</v>
      </c>
      <c r="E50" s="490"/>
      <c r="F50" s="490"/>
      <c r="G50" s="490"/>
      <c r="H50" s="479"/>
      <c r="I50" s="478"/>
      <c r="J50" s="478"/>
      <c r="K50" s="478"/>
      <c r="L50" s="480"/>
      <c r="M50" s="481"/>
      <c r="N50" s="481"/>
      <c r="O50" s="53"/>
      <c r="P50" s="142"/>
      <c r="Q50" s="520"/>
      <c r="R50" s="482"/>
      <c r="S50" s="513"/>
      <c r="T50" s="669" t="s">
        <v>478</v>
      </c>
      <c r="U50" s="215"/>
      <c r="V50" s="215"/>
      <c r="W50" s="215"/>
      <c r="X50" s="215"/>
      <c r="Y50" s="215"/>
      <c r="Z50" s="215"/>
      <c r="AA50" s="215"/>
      <c r="AB50" s="518"/>
      <c r="AC50" s="215"/>
      <c r="AD50" s="215"/>
      <c r="AE50" s="215"/>
      <c r="AF50" s="215"/>
      <c r="AG50" s="215"/>
      <c r="AH50" s="215"/>
      <c r="AI50" s="518"/>
      <c r="AJ50" s="215"/>
      <c r="AK50" s="519"/>
      <c r="AM50" s="128"/>
      <c r="AN50" s="128" t="str">
        <f t="shared" si="25"/>
        <v xml:space="preserve">Добавить наименование признака дифференциации</v>
      </c>
      <c r="AO50" s="128"/>
      <c r="AP50" s="128"/>
    </row>
    <row r="51" s="57" customFormat="1" ht="0" customHeight="1">
      <c r="A51" s="132" t="s">
        <v>224</v>
      </c>
      <c r="B51" s="132" t="s">
        <v>225</v>
      </c>
      <c r="C51" s="132"/>
      <c r="D51" s="132"/>
      <c r="E51" s="490"/>
      <c r="F51" s="479"/>
      <c r="G51" s="132"/>
      <c r="H51" s="132"/>
      <c r="I51" s="132"/>
      <c r="J51" s="132"/>
      <c r="K51" s="132"/>
      <c r="L51" s="213"/>
      <c r="M51" s="526"/>
      <c r="N51" s="526"/>
      <c r="P51" s="166"/>
      <c r="Q51" s="522"/>
      <c r="R51" s="166"/>
      <c r="S51" s="527"/>
      <c r="T51" s="530" t="s">
        <v>405</v>
      </c>
      <c r="U51" s="529"/>
      <c r="V51" s="529"/>
      <c r="W51" s="529"/>
      <c r="X51" s="529"/>
      <c r="Y51" s="529"/>
      <c r="Z51" s="529"/>
      <c r="AA51" s="529"/>
      <c r="AB51" s="529"/>
      <c r="AC51" s="529"/>
      <c r="AD51" s="529"/>
      <c r="AE51" s="529"/>
      <c r="AF51" s="529"/>
      <c r="AG51" s="529"/>
      <c r="AH51" s="529"/>
      <c r="AI51" s="529"/>
      <c r="AJ51" s="529"/>
      <c r="AK51" s="529"/>
      <c r="AM51" s="128"/>
      <c r="AN51" s="128" t="str">
        <f t="shared" si="25"/>
        <v xml:space="preserve">Добавить централизованную систему для дифференциации</v>
      </c>
      <c r="AO51" s="128"/>
      <c r="AP51" s="128"/>
    </row>
    <row r="52" s="57" customFormat="1" ht="0" customHeight="1">
      <c r="A52" s="132" t="s">
        <v>224</v>
      </c>
      <c r="B52" s="132"/>
      <c r="C52" s="132"/>
      <c r="D52" s="132"/>
      <c r="E52" s="479"/>
      <c r="F52" s="132"/>
      <c r="G52" s="132"/>
      <c r="H52" s="132"/>
      <c r="I52" s="132"/>
      <c r="J52" s="132"/>
      <c r="K52" s="132"/>
      <c r="L52" s="213"/>
      <c r="M52" s="526"/>
      <c r="N52" s="526"/>
      <c r="O52" s="57"/>
      <c r="P52" s="166"/>
      <c r="Q52" s="522"/>
      <c r="R52" s="166"/>
      <c r="S52" s="527"/>
      <c r="T52" s="530" t="s">
        <v>406</v>
      </c>
      <c r="U52" s="529"/>
      <c r="V52" s="529"/>
      <c r="W52" s="529"/>
      <c r="X52" s="529"/>
      <c r="Y52" s="529"/>
      <c r="Z52" s="529"/>
      <c r="AA52" s="529"/>
      <c r="AB52" s="529"/>
      <c r="AC52" s="529"/>
      <c r="AD52" s="529"/>
      <c r="AE52" s="529"/>
      <c r="AF52" s="529"/>
      <c r="AG52" s="529"/>
      <c r="AH52" s="529"/>
      <c r="AI52" s="529"/>
      <c r="AJ52" s="529"/>
      <c r="AK52" s="529"/>
      <c r="AM52" s="128"/>
      <c r="AN52" s="128" t="str">
        <f t="shared" si="25"/>
        <v xml:space="preserve">Добавить территорию для дифференциации</v>
      </c>
      <c r="AO52" s="128"/>
      <c r="AP52" s="128"/>
    </row>
    <row r="53" s="57" customFormat="1" ht="0" customHeight="1">
      <c r="A53" s="132"/>
      <c r="B53" s="132"/>
      <c r="C53" s="132"/>
      <c r="D53" s="132"/>
      <c r="E53" s="132"/>
      <c r="F53" s="132"/>
      <c r="G53" s="132"/>
      <c r="H53" s="132"/>
      <c r="I53" s="132"/>
      <c r="J53" s="132"/>
      <c r="K53" s="132"/>
      <c r="L53" s="213"/>
      <c r="M53" s="526"/>
      <c r="N53" s="526"/>
      <c r="P53" s="166"/>
      <c r="Q53" s="522"/>
      <c r="R53" s="166"/>
      <c r="S53" s="527"/>
      <c r="T53" s="530" t="s">
        <v>438</v>
      </c>
      <c r="U53" s="529"/>
      <c r="V53" s="529"/>
      <c r="W53" s="529"/>
      <c r="X53" s="529"/>
      <c r="Y53" s="529"/>
      <c r="Z53" s="529"/>
      <c r="AA53" s="529"/>
      <c r="AB53" s="529"/>
      <c r="AC53" s="529"/>
      <c r="AD53" s="529"/>
      <c r="AE53" s="529"/>
      <c r="AF53" s="529"/>
      <c r="AG53" s="529"/>
      <c r="AH53" s="529"/>
      <c r="AI53" s="529"/>
      <c r="AJ53" s="529"/>
      <c r="AK53" s="529"/>
      <c r="AM53" s="128"/>
      <c r="AN53" s="128" t="str">
        <f t="shared" si="25"/>
        <v xml:space="preserve">Добавить наименование тарифа</v>
      </c>
      <c r="AO53" s="128"/>
      <c r="AP53" s="128"/>
    </row>
    <row r="54" ht="11.25" customHeight="1">
      <c r="M54" s="53"/>
      <c r="N54" s="53"/>
      <c r="O54" s="53"/>
      <c r="P54" s="50"/>
      <c r="Q54" s="50"/>
      <c r="R54" s="50"/>
      <c r="S54" s="50"/>
      <c r="AL54" s="50"/>
      <c r="AM54" s="50"/>
      <c r="AN54" s="50"/>
      <c r="AO54" s="50"/>
      <c r="AP54" s="50"/>
    </row>
    <row r="55" ht="14.25" customHeight="1">
      <c r="O55" s="53"/>
      <c r="S55" s="475"/>
      <c r="T55" s="572"/>
      <c r="U55" s="572"/>
      <c r="V55" s="572"/>
      <c r="W55" s="572"/>
      <c r="X55" s="572"/>
      <c r="Y55" s="572"/>
      <c r="Z55" s="572"/>
      <c r="AA55" s="572"/>
      <c r="AB55" s="572"/>
      <c r="AC55" s="572"/>
      <c r="AD55" s="572"/>
      <c r="AE55" s="572"/>
      <c r="AF55" s="572"/>
      <c r="AG55" s="572"/>
      <c r="AH55" s="572"/>
      <c r="AI55" s="572"/>
      <c r="AJ55" s="572"/>
      <c r="AK55" s="572"/>
    </row>
    <row r="56" ht="14.25" customHeight="1">
      <c r="O56" s="53"/>
    </row>
    <row r="57" ht="14.25" customHeight="1">
      <c r="O57" s="53"/>
      <c r="S57" s="475"/>
      <c r="T57" s="572"/>
      <c r="U57" s="572"/>
      <c r="V57" s="572"/>
      <c r="W57" s="572"/>
      <c r="X57" s="572"/>
      <c r="Y57" s="572"/>
      <c r="Z57" s="572"/>
      <c r="AA57" s="572"/>
      <c r="AB57" s="572"/>
      <c r="AC57" s="572"/>
      <c r="AD57" s="572"/>
      <c r="AE57" s="572"/>
      <c r="AF57" s="572"/>
      <c r="AG57" s="572"/>
      <c r="AH57" s="572"/>
      <c r="AI57" s="572"/>
      <c r="AJ57" s="572"/>
      <c r="AK57" s="572"/>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4007F-005A-4D2C-9299-0050003D00CC}"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2600CA-007F-40E0-8163-0034000E0019}"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FD004F-0072-4A77-AFB8-00DC006A0049}"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760025-00AB-429D-9235-009300B7000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7109375"/>
    <col customWidth="1" min="17" max="18" style="477" width="3.7109375"/>
    <col customWidth="1" min="19" max="19" style="322" width="12.7109375"/>
    <col customWidth="1" min="20" max="20" style="50" width="35.710937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31" style="50" width="24.7109375"/>
    <col customWidth="1" min="32" max="32" style="50" width="11.7109375"/>
    <col customWidth="1" min="33" max="33" style="50" width="3.7109375"/>
    <col customWidth="1" min="34" max="34" style="50" width="11.7109375"/>
    <col customWidth="1" hidden="1" min="35" max="35" style="50" width="8.57421875"/>
    <col customWidth="1" min="36" max="36" style="50" width="4.7109375"/>
    <col customWidth="1" min="37" max="37" style="50" width="115.7109375"/>
    <col min="38" max="39" style="57" width="10.57421875"/>
    <col customWidth="1" min="40" max="40" style="57" width="11.140625"/>
    <col min="41" max="42" style="57" width="10.57421875"/>
  </cols>
  <sheetData>
    <row r="1" ht="14.25" hidden="1" customHeight="1">
      <c r="X1" s="50"/>
      <c r="Y1" s="50"/>
      <c r="AE1" s="50"/>
      <c r="AF1" s="50"/>
    </row>
    <row r="2" ht="23.25"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8"/>
      <c r="AC2" s="486" t="e">
        <f>INDEX(PT_DIFFERENTIATION_NTAR,MATCH(A2,PT_DIFFERENTIATION_NTAR_ID,0))</f>
        <v>#VALUE!</v>
      </c>
      <c r="AD2" s="487"/>
      <c r="AE2" s="487"/>
      <c r="AF2" s="487"/>
      <c r="AG2" s="487"/>
      <c r="AH2" s="487"/>
      <c r="AI2" s="487"/>
      <c r="AJ2" s="488"/>
      <c r="AK2"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8"/>
      <c r="AN2" s="128" t="str">
        <f t="shared" ref="AN2:AN9" si="26">IF(T2="","",T2)</f>
        <v xml:space="preserve">Наименование тарифа</v>
      </c>
      <c r="AO2" s="128"/>
      <c r="AP2" s="128"/>
    </row>
    <row r="3" ht="23.25"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8"/>
      <c r="AC3" s="486" t="e">
        <f>INDEX(PT_DIFFERENTIATION_TER,MATCH(B3,PT_DIFFERENTIATION_TER_ID,0))</f>
        <v>#VALUE!</v>
      </c>
      <c r="AD3" s="487"/>
      <c r="AE3" s="487"/>
      <c r="AF3" s="487"/>
      <c r="AG3" s="487"/>
      <c r="AH3" s="487"/>
      <c r="AI3" s="487"/>
      <c r="AJ3" s="488"/>
      <c r="AK3" s="489" t="s">
        <v>388</v>
      </c>
      <c r="AM3" s="128"/>
      <c r="AN3" s="128" t="str">
        <f t="shared" si="26"/>
        <v xml:space="preserve">Территория действия тарифа</v>
      </c>
      <c r="AO3" s="128"/>
      <c r="AP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471</v>
      </c>
      <c r="U4" s="485"/>
      <c r="V4" s="486"/>
      <c r="W4" s="487"/>
      <c r="X4" s="487"/>
      <c r="Y4" s="487"/>
      <c r="Z4" s="487"/>
      <c r="AA4" s="487"/>
      <c r="AB4" s="488"/>
      <c r="AC4" s="486" t="e">
        <f>INDEX(PT_DIFFERENTIATION_CS,MATCH(C4,PT_DIFFERENTIATION_CS_ID,0))</f>
        <v>#VALUE!</v>
      </c>
      <c r="AD4" s="487"/>
      <c r="AE4" s="487"/>
      <c r="AF4" s="487"/>
      <c r="AG4" s="487"/>
      <c r="AH4" s="487"/>
      <c r="AI4" s="487"/>
      <c r="AJ4" s="488"/>
      <c r="AK4" s="489" t="s">
        <v>472</v>
      </c>
      <c r="AM4" s="128"/>
      <c r="AN4" s="128" t="str">
        <f t="shared" si="26"/>
        <v xml:space="preserve">Наименование централизованной системы холодного водоснабжения</v>
      </c>
      <c r="AO4" s="128"/>
      <c r="AP4" s="128"/>
    </row>
    <row r="5" ht="23.25" hidden="1" customHeight="1">
      <c r="A5" s="478"/>
      <c r="B5" s="478"/>
      <c r="C5" s="478"/>
      <c r="D5" s="478"/>
      <c r="E5" s="490"/>
      <c r="F5" s="490"/>
      <c r="G5" s="490"/>
      <c r="H5" s="490"/>
      <c r="I5" s="167" t="e">
        <f>S4&amp;".1"</f>
        <v>#VALUE!</v>
      </c>
      <c r="J5" s="478"/>
      <c r="K5" s="478"/>
      <c r="L5" s="480"/>
      <c r="P5" s="131">
        <v>1</v>
      </c>
      <c r="Q5" s="131"/>
      <c r="R5" s="497"/>
      <c r="S5" s="483" t="e">
        <f>$I5</f>
        <v>#VALUE!</v>
      </c>
      <c r="T5" s="498" t="s">
        <v>473</v>
      </c>
      <c r="U5" s="485"/>
      <c r="V5" s="658"/>
      <c r="W5" s="659"/>
      <c r="X5" s="659"/>
      <c r="Y5" s="659"/>
      <c r="Z5" s="659"/>
      <c r="AA5" s="659"/>
      <c r="AB5" s="660"/>
      <c r="AC5" s="661"/>
      <c r="AD5" s="662"/>
      <c r="AE5" s="662"/>
      <c r="AF5" s="662"/>
      <c r="AG5" s="662"/>
      <c r="AH5" s="662"/>
      <c r="AI5" s="662"/>
      <c r="AJ5" s="663"/>
      <c r="AK5" s="489" t="s">
        <v>474</v>
      </c>
      <c r="AM5" s="128"/>
      <c r="AN5" s="128" t="str">
        <f t="shared" si="26"/>
        <v xml:space="preserve">Наименование признака дифференциации</v>
      </c>
      <c r="AO5" s="128"/>
      <c r="AP5" s="128"/>
    </row>
    <row r="6" ht="23.25" hidden="1" customHeight="1">
      <c r="A6" s="478"/>
      <c r="B6" s="478"/>
      <c r="C6" s="478"/>
      <c r="D6" s="478"/>
      <c r="E6" s="490"/>
      <c r="F6" s="490"/>
      <c r="G6" s="490"/>
      <c r="H6" s="490"/>
      <c r="I6" s="501"/>
      <c r="J6" s="167" t="e">
        <f>I5&amp;".1"</f>
        <v>#VALUE!</v>
      </c>
      <c r="K6" s="478"/>
      <c r="L6" s="480" t="s">
        <v>396</v>
      </c>
      <c r="P6" s="131"/>
      <c r="Q6" s="131">
        <v>1</v>
      </c>
      <c r="R6" s="502"/>
      <c r="S6" s="483" t="e">
        <f>$J6</f>
        <v>#VALUE!</v>
      </c>
      <c r="T6" s="503" t="s">
        <v>397</v>
      </c>
      <c r="U6" s="485"/>
      <c r="V6" s="430"/>
      <c r="W6" s="499"/>
      <c r="X6" s="499"/>
      <c r="Y6" s="499"/>
      <c r="Z6" s="499"/>
      <c r="AA6" s="499"/>
      <c r="AB6" s="500"/>
      <c r="AC6" s="430"/>
      <c r="AD6" s="499"/>
      <c r="AE6" s="499"/>
      <c r="AF6" s="499"/>
      <c r="AG6" s="499"/>
      <c r="AH6" s="499"/>
      <c r="AI6" s="499"/>
      <c r="AJ6" s="500"/>
      <c r="AK6" s="593" t="s">
        <v>475</v>
      </c>
      <c r="AM6" s="128"/>
      <c r="AN6" s="128" t="str">
        <f t="shared" si="26"/>
        <v xml:space="preserve">Группа потребителей</v>
      </c>
      <c r="AO6" s="128"/>
      <c r="AP6" s="128"/>
    </row>
    <row r="7" ht="23.25" hidden="1" customHeight="1">
      <c r="A7" s="478"/>
      <c r="B7" s="478"/>
      <c r="C7" s="478"/>
      <c r="D7" s="478"/>
      <c r="E7" s="490"/>
      <c r="F7" s="490"/>
      <c r="G7" s="490"/>
      <c r="H7" s="490"/>
      <c r="I7" s="501"/>
      <c r="J7" s="501"/>
      <c r="K7" s="167" t="e">
        <f>J6&amp;".1"</f>
        <v>#VALUE!</v>
      </c>
      <c r="L7" s="480"/>
      <c r="P7" s="131"/>
      <c r="Q7" s="131"/>
      <c r="R7" s="502">
        <v>1</v>
      </c>
      <c r="S7" s="483" t="e">
        <f>$K7</f>
        <v>#VALUE!</v>
      </c>
      <c r="T7" s="664"/>
      <c r="U7" s="485"/>
      <c r="V7" s="505"/>
      <c r="W7" s="505"/>
      <c r="X7" s="507"/>
      <c r="Y7" s="508"/>
      <c r="Z7" s="225" t="s">
        <v>56</v>
      </c>
      <c r="AA7" s="508"/>
      <c r="AB7" s="225" t="s">
        <v>56</v>
      </c>
      <c r="AC7" s="505"/>
      <c r="AD7" s="505"/>
      <c r="AE7" s="507"/>
      <c r="AF7" s="508"/>
      <c r="AG7" s="225" t="s">
        <v>56</v>
      </c>
      <c r="AH7" s="568"/>
      <c r="AI7" s="225" t="s">
        <v>56</v>
      </c>
      <c r="AJ7" s="665"/>
      <c r="AK7"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8"/>
      <c r="AN7" s="128" t="str">
        <f t="shared" si="26"/>
        <v/>
      </c>
      <c r="AO7" s="128"/>
      <c r="AP7" s="128"/>
    </row>
    <row r="8" ht="14.25" hidden="1" customHeight="1">
      <c r="A8" s="478"/>
      <c r="B8" s="478"/>
      <c r="C8" s="478"/>
      <c r="D8" s="478"/>
      <c r="E8" s="490"/>
      <c r="F8" s="490"/>
      <c r="G8" s="490"/>
      <c r="H8" s="490"/>
      <c r="I8" s="501"/>
      <c r="J8" s="501"/>
      <c r="K8" s="167"/>
      <c r="L8" s="480"/>
      <c r="P8" s="131"/>
      <c r="Q8" s="131"/>
      <c r="R8" s="502"/>
      <c r="S8" s="457"/>
      <c r="T8" s="485"/>
      <c r="U8" s="485"/>
      <c r="V8" s="506"/>
      <c r="W8" s="506"/>
      <c r="X8" s="510" t="str">
        <f>Y7&amp;"-"&amp;AA7</f>
        <v>-</v>
      </c>
      <c r="Y8" s="511"/>
      <c r="Z8" s="225"/>
      <c r="AA8" s="511"/>
      <c r="AB8" s="225"/>
      <c r="AC8" s="506"/>
      <c r="AD8" s="506"/>
      <c r="AE8" s="510" t="str">
        <f>AF7&amp;"-"&amp;AH7</f>
        <v>-</v>
      </c>
      <c r="AF8" s="511"/>
      <c r="AG8" s="225"/>
      <c r="AH8" s="570"/>
      <c r="AI8" s="225"/>
      <c r="AJ8" s="667"/>
      <c r="AK8" s="666"/>
      <c r="AM8" s="128"/>
      <c r="AN8" s="128" t="str">
        <f t="shared" si="26"/>
        <v/>
      </c>
      <c r="AO8" s="128"/>
      <c r="AP8" s="128"/>
    </row>
    <row r="9" ht="21" hidden="1" customHeight="1">
      <c r="A9" s="478"/>
      <c r="B9" s="478"/>
      <c r="C9" s="478"/>
      <c r="D9" s="478"/>
      <c r="E9" s="490"/>
      <c r="F9" s="490"/>
      <c r="G9" s="490"/>
      <c r="H9" s="490"/>
      <c r="I9" s="501"/>
      <c r="J9" s="167"/>
      <c r="K9" s="478"/>
      <c r="L9" s="480"/>
      <c r="P9" s="131"/>
      <c r="Q9" s="131"/>
      <c r="R9" s="497"/>
      <c r="S9" s="513"/>
      <c r="T9" s="517" t="s">
        <v>476</v>
      </c>
      <c r="U9" s="215"/>
      <c r="V9" s="215"/>
      <c r="W9" s="215"/>
      <c r="X9" s="215"/>
      <c r="Y9" s="215"/>
      <c r="Z9" s="215"/>
      <c r="AA9" s="215"/>
      <c r="AB9" s="215"/>
      <c r="AC9" s="215"/>
      <c r="AD9" s="215"/>
      <c r="AE9" s="215"/>
      <c r="AF9" s="215"/>
      <c r="AG9" s="215"/>
      <c r="AH9" s="215"/>
      <c r="AI9" s="215"/>
      <c r="AJ9" s="215"/>
      <c r="AK9" s="489" t="s">
        <v>477</v>
      </c>
      <c r="AM9" s="128"/>
      <c r="AN9" s="128" t="str">
        <f t="shared" si="26"/>
        <v xml:space="preserve">Добавить значение признака дифференциации</v>
      </c>
      <c r="AO9" s="128"/>
      <c r="AP9" s="128"/>
    </row>
    <row r="10" ht="21" hidden="1" customHeight="1">
      <c r="A10" s="478"/>
      <c r="B10" s="478"/>
      <c r="C10" s="478"/>
      <c r="D10" s="478"/>
      <c r="E10" s="490"/>
      <c r="F10" s="490"/>
      <c r="G10" s="490"/>
      <c r="H10" s="490"/>
      <c r="I10" s="167"/>
      <c r="J10" s="478"/>
      <c r="K10" s="478"/>
      <c r="L10" s="480"/>
      <c r="P10" s="131"/>
      <c r="Q10" s="131"/>
      <c r="R10" s="497"/>
      <c r="S10" s="513"/>
      <c r="T10" s="521" t="s">
        <v>402</v>
      </c>
      <c r="U10" s="215"/>
      <c r="V10" s="215"/>
      <c r="W10" s="215"/>
      <c r="X10" s="215"/>
      <c r="Y10" s="215"/>
      <c r="Z10" s="215"/>
      <c r="AA10" s="215"/>
      <c r="AB10" s="518"/>
      <c r="AC10" s="215"/>
      <c r="AD10" s="215"/>
      <c r="AE10" s="215"/>
      <c r="AF10" s="215"/>
      <c r="AG10" s="215"/>
      <c r="AH10" s="215"/>
      <c r="AI10" s="518"/>
      <c r="AJ10" s="215"/>
      <c r="AK10" s="668"/>
      <c r="AM10" s="128"/>
      <c r="AN10" s="128" t="str">
        <f t="shared" ref="AN10:AN53" si="27">IF(T10="","",T10)</f>
        <v xml:space="preserve">Добавить группу потребителей</v>
      </c>
      <c r="AO10" s="128"/>
      <c r="AP10" s="128"/>
    </row>
    <row r="11" ht="21" hidden="1" customHeight="1">
      <c r="A11" s="478"/>
      <c r="B11" s="478"/>
      <c r="C11" s="478"/>
      <c r="D11" s="478"/>
      <c r="E11" s="490"/>
      <c r="F11" s="490"/>
      <c r="G11" s="490"/>
      <c r="H11" s="479"/>
      <c r="I11" s="478"/>
      <c r="J11" s="478"/>
      <c r="K11" s="478"/>
      <c r="L11" s="480"/>
      <c r="M11" s="481"/>
      <c r="N11" s="481"/>
      <c r="O11" s="53"/>
      <c r="P11" s="142"/>
      <c r="Q11" s="520"/>
      <c r="R11" s="482"/>
      <c r="S11" s="513"/>
      <c r="T11" s="669" t="s">
        <v>478</v>
      </c>
      <c r="U11" s="215"/>
      <c r="V11" s="215"/>
      <c r="W11" s="215"/>
      <c r="X11" s="215"/>
      <c r="Y11" s="215"/>
      <c r="Z11" s="215"/>
      <c r="AA11" s="215"/>
      <c r="AB11" s="518"/>
      <c r="AC11" s="215"/>
      <c r="AD11" s="215"/>
      <c r="AE11" s="215"/>
      <c r="AF11" s="215"/>
      <c r="AG11" s="215"/>
      <c r="AH11" s="215"/>
      <c r="AI11" s="518"/>
      <c r="AJ11" s="215"/>
      <c r="AK11" s="519"/>
      <c r="AM11" s="128"/>
      <c r="AN11" s="128" t="str">
        <f t="shared" si="27"/>
        <v xml:space="preserve">Добавить наименование признака дифференциации</v>
      </c>
      <c r="AO11" s="128"/>
      <c r="AP11" s="128"/>
    </row>
    <row r="12" s="57" customFormat="1" ht="14.25" hidden="1" customHeight="1">
      <c r="A12" s="132"/>
      <c r="B12" s="132"/>
      <c r="C12" s="132"/>
      <c r="D12" s="132"/>
      <c r="E12" s="490"/>
      <c r="F12" s="479"/>
      <c r="G12" s="132"/>
      <c r="H12" s="132"/>
      <c r="I12" s="132"/>
      <c r="J12" s="132"/>
      <c r="K12" s="132"/>
      <c r="L12" s="213"/>
      <c r="M12" s="526"/>
      <c r="N12" s="526"/>
      <c r="P12" s="166"/>
      <c r="Q12" s="522"/>
      <c r="R12" s="166"/>
      <c r="S12" s="527"/>
      <c r="T12" s="530" t="s">
        <v>405</v>
      </c>
      <c r="U12" s="529"/>
      <c r="V12" s="529"/>
      <c r="W12" s="529"/>
      <c r="X12" s="529"/>
      <c r="Y12" s="529"/>
      <c r="Z12" s="529"/>
      <c r="AA12" s="529"/>
      <c r="AB12" s="529"/>
      <c r="AC12" s="529"/>
      <c r="AD12" s="529"/>
      <c r="AE12" s="529"/>
      <c r="AF12" s="529"/>
      <c r="AG12" s="529"/>
      <c r="AH12" s="529"/>
      <c r="AI12" s="529"/>
      <c r="AJ12" s="529"/>
      <c r="AK12" s="529"/>
      <c r="AM12" s="128"/>
      <c r="AN12" s="128" t="str">
        <f t="shared" si="27"/>
        <v xml:space="preserve">Добавить централизованную систему для дифференциации</v>
      </c>
      <c r="AO12" s="128"/>
      <c r="AP12" s="128"/>
    </row>
    <row r="13" s="57" customFormat="1" ht="14.25" hidden="1" customHeight="1">
      <c r="A13" s="132"/>
      <c r="B13" s="132"/>
      <c r="C13" s="132"/>
      <c r="D13" s="132"/>
      <c r="E13" s="479"/>
      <c r="F13" s="132"/>
      <c r="G13" s="132"/>
      <c r="H13" s="132"/>
      <c r="I13" s="132"/>
      <c r="J13" s="132"/>
      <c r="K13" s="132"/>
      <c r="L13" s="213"/>
      <c r="M13" s="526"/>
      <c r="N13" s="526"/>
      <c r="O13" s="57"/>
      <c r="P13" s="166"/>
      <c r="Q13" s="522"/>
      <c r="R13" s="166"/>
      <c r="S13" s="527"/>
      <c r="T13" s="530" t="s">
        <v>406</v>
      </c>
      <c r="U13" s="529"/>
      <c r="V13" s="529"/>
      <c r="W13" s="529"/>
      <c r="X13" s="529"/>
      <c r="Y13" s="529"/>
      <c r="Z13" s="529"/>
      <c r="AA13" s="529"/>
      <c r="AB13" s="529"/>
      <c r="AC13" s="529"/>
      <c r="AD13" s="529"/>
      <c r="AE13" s="529"/>
      <c r="AF13" s="529"/>
      <c r="AG13" s="529"/>
      <c r="AH13" s="529"/>
      <c r="AI13" s="529"/>
      <c r="AJ13" s="529"/>
      <c r="AK13" s="529"/>
      <c r="AM13" s="128"/>
      <c r="AN13" s="128" t="str">
        <f t="shared" si="27"/>
        <v xml:space="preserve">Добавить территорию для дифференциации</v>
      </c>
      <c r="AO13" s="128"/>
      <c r="AP13" s="128"/>
    </row>
    <row r="14" ht="14.25" hidden="1" customHeight="1">
      <c r="AB14" s="50"/>
      <c r="AI14" s="50"/>
    </row>
    <row r="15" ht="14.25" hidden="1" customHeight="1">
      <c r="AC15" s="531"/>
      <c r="AD15" s="531"/>
      <c r="AE15" s="532"/>
      <c r="AF15" s="533"/>
      <c r="AG15" s="534" t="s">
        <v>56</v>
      </c>
      <c r="AH15" s="533"/>
      <c r="AI15" s="534" t="s">
        <v>56</v>
      </c>
    </row>
    <row r="16" ht="14.25" hidden="1" customHeight="1">
      <c r="AC16" s="531"/>
      <c r="AD16" s="531"/>
      <c r="AE16" s="510" t="str">
        <f>AF15&amp;"-"&amp;AH15</f>
        <v>-</v>
      </c>
      <c r="AF16" s="534"/>
      <c r="AG16" s="534"/>
      <c r="AH16" s="534"/>
      <c r="AI16" s="534"/>
    </row>
    <row r="17" ht="14.25" hidden="1" customHeight="1">
      <c r="AI17" s="50"/>
    </row>
    <row r="18" s="53" customFormat="1" ht="22.5" hidden="1" customHeight="1">
      <c r="L18" s="113"/>
      <c r="M18" s="61"/>
      <c r="N18" s="61"/>
      <c r="O18" s="535" t="s">
        <v>407</v>
      </c>
      <c r="P18" s="61"/>
      <c r="Q18" s="536"/>
      <c r="R18" s="536"/>
      <c r="S18" s="481"/>
      <c r="Y18" s="535"/>
      <c r="AA18" s="535"/>
      <c r="AB18" s="53"/>
      <c r="AF18" s="535"/>
      <c r="AH18" s="535"/>
      <c r="AI18" s="53"/>
      <c r="AL18" s="57"/>
      <c r="AM18" s="57"/>
      <c r="AN18" s="57"/>
      <c r="AO18" s="57"/>
      <c r="AP18" s="57"/>
    </row>
    <row r="19" s="53" customFormat="1" ht="14.25" hidden="1" customHeight="1">
      <c r="L19" s="113"/>
      <c r="M19" s="61"/>
      <c r="N19" s="61"/>
      <c r="O19" s="61"/>
      <c r="P19" s="61"/>
      <c r="Q19" s="536"/>
      <c r="R19" s="536"/>
      <c r="S19" s="481"/>
      <c r="AB19" s="53"/>
      <c r="AI19" s="53"/>
      <c r="AL19" s="57"/>
      <c r="AM19" s="57"/>
      <c r="AN19" s="57"/>
      <c r="AO19" s="57"/>
      <c r="AP19" s="57"/>
    </row>
    <row r="20" s="53" customFormat="1" ht="12" hidden="1" customHeight="1">
      <c r="L20" s="113"/>
      <c r="M20" s="61"/>
      <c r="N20" s="61"/>
      <c r="O20" s="480" t="s">
        <v>408</v>
      </c>
      <c r="P20" s="61"/>
      <c r="Q20" s="670"/>
      <c r="R20" s="670"/>
      <c r="S20" s="481"/>
      <c r="T20" s="53" t="s">
        <v>409</v>
      </c>
      <c r="Z20" s="150" t="s">
        <v>410</v>
      </c>
      <c r="AB20" s="150" t="s">
        <v>411</v>
      </c>
      <c r="AC20" s="53" t="s">
        <v>409</v>
      </c>
      <c r="AG20" s="150" t="s">
        <v>412</v>
      </c>
      <c r="AI20" s="150" t="s">
        <v>411</v>
      </c>
    </row>
    <row r="21" ht="14.25" hidden="1" customHeight="1">
      <c r="O21" s="480"/>
    </row>
    <row r="22" ht="14.25" hidden="1" customHeight="1">
      <c r="O22" s="480"/>
    </row>
    <row r="23" ht="14.25" customHeight="1">
      <c r="Q23" s="537"/>
      <c r="R23" s="537"/>
      <c r="S23" s="538"/>
      <c r="T23" s="89"/>
      <c r="U23" s="89"/>
      <c r="V23" s="50"/>
      <c r="W23" s="50"/>
      <c r="X23" s="50"/>
      <c r="Y23" s="50"/>
      <c r="Z23" s="50"/>
      <c r="AA23" s="50"/>
      <c r="AB23" s="50"/>
      <c r="AC23" s="50"/>
      <c r="AD23" s="50"/>
      <c r="AE23" s="50"/>
      <c r="AF23" s="50"/>
      <c r="AG23" s="50"/>
      <c r="AH23" s="50"/>
      <c r="AI23" s="50"/>
    </row>
    <row r="24" ht="14.25" customHeight="1">
      <c r="Q24" s="537"/>
      <c r="R24" s="537"/>
      <c r="S24" s="45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51"/>
      <c r="U24" s="451"/>
      <c r="V24" s="451"/>
      <c r="W24" s="451"/>
      <c r="X24" s="451"/>
      <c r="Y24" s="451"/>
      <c r="Z24" s="451"/>
      <c r="AA24" s="451"/>
      <c r="AB24" s="451"/>
      <c r="AC24" s="451"/>
      <c r="AD24" s="451"/>
      <c r="AE24" s="451"/>
      <c r="AF24" s="451"/>
      <c r="AG24" s="451"/>
      <c r="AH24" s="451"/>
      <c r="AI24" s="241"/>
    </row>
    <row r="25" ht="14.25" customHeight="1">
      <c r="Q25" s="537"/>
      <c r="R25" s="537"/>
      <c r="S25" s="302" t="str">
        <f>IF(org=0,"Не определено",org)</f>
        <v xml:space="preserve">филиал ПАО "ОГК-2" - Адлерская ТЭС</v>
      </c>
      <c r="T25" s="302"/>
      <c r="U25" s="302"/>
      <c r="V25" s="302"/>
      <c r="W25" s="302"/>
      <c r="X25" s="302"/>
      <c r="Y25" s="302"/>
      <c r="Z25" s="302"/>
      <c r="AA25" s="302"/>
      <c r="AB25" s="302"/>
      <c r="AC25" s="302"/>
      <c r="AD25" s="302"/>
      <c r="AE25" s="302"/>
      <c r="AF25" s="302"/>
      <c r="AG25" s="302"/>
      <c r="AH25" s="302"/>
      <c r="AI25" s="241"/>
    </row>
    <row r="26" ht="14.25" hidden="1" customHeight="1">
      <c r="Q26" s="537"/>
      <c r="R26" s="537"/>
      <c r="S26" s="538"/>
      <c r="T26" s="89"/>
      <c r="U26" s="89"/>
      <c r="V26" s="539"/>
      <c r="W26" s="539"/>
      <c r="X26" s="539"/>
      <c r="Y26" s="539"/>
      <c r="Z26" s="539"/>
      <c r="AA26" s="539"/>
      <c r="AB26" s="539"/>
      <c r="AC26" s="539"/>
      <c r="AD26" s="539"/>
      <c r="AE26" s="539"/>
      <c r="AF26" s="539"/>
      <c r="AG26" s="539"/>
      <c r="AH26" s="539"/>
      <c r="AI26" s="539"/>
      <c r="AJ26" s="50"/>
    </row>
    <row r="27" s="185" customFormat="1" ht="25.5" hidden="1" customHeight="1">
      <c r="A27" s="150"/>
      <c r="B27" s="150"/>
      <c r="C27" s="150"/>
      <c r="D27" s="150"/>
      <c r="E27" s="150"/>
      <c r="F27" s="150"/>
      <c r="G27" s="150"/>
      <c r="H27" s="150"/>
      <c r="I27" s="150"/>
      <c r="J27" s="150"/>
      <c r="K27" s="150"/>
      <c r="L27" s="480"/>
      <c r="M27" s="150"/>
      <c r="N27" s="150"/>
      <c r="O27" s="150"/>
      <c r="S27" s="540" t="s">
        <v>38</v>
      </c>
      <c r="T27" s="540"/>
      <c r="U27" s="541"/>
      <c r="V27" s="542" t="str">
        <f>IF(TITLE_NAME_OR_PR_CHANGE="",IF(TITLE_NAME_OR_PR="","",TITLE_NAME_OR_PR),TITLE_NAME_OR_PR_CHANGE)</f>
        <v/>
      </c>
      <c r="W27" s="542"/>
      <c r="X27" s="542"/>
      <c r="Y27" s="542"/>
      <c r="Z27" s="542"/>
      <c r="AA27" s="542"/>
      <c r="AB27" s="50"/>
      <c r="AC27" s="542" t="str">
        <f>IF(TITLE_NAME_OR_PR_CHANGE="",IF(TITLE_NAME_OR_PR="","",TITLE_NAME_OR_PR),TITLE_NAME_OR_PR_CHANGE)</f>
        <v/>
      </c>
      <c r="AD27" s="542"/>
      <c r="AE27" s="542"/>
      <c r="AF27" s="542"/>
      <c r="AG27" s="542"/>
      <c r="AH27" s="542"/>
      <c r="AI27" s="50"/>
      <c r="AJ27" s="50"/>
      <c r="AK27" s="543"/>
      <c r="AL27" s="128"/>
      <c r="AM27" s="128"/>
      <c r="AN27" s="128"/>
      <c r="AO27" s="128"/>
      <c r="AP27" s="128"/>
    </row>
    <row r="28" s="185" customFormat="1" ht="18.75" hidden="1" customHeight="1">
      <c r="A28" s="150"/>
      <c r="B28" s="150"/>
      <c r="C28" s="150"/>
      <c r="D28" s="150"/>
      <c r="E28" s="150"/>
      <c r="F28" s="150"/>
      <c r="G28" s="150"/>
      <c r="H28" s="150"/>
      <c r="I28" s="150"/>
      <c r="J28" s="150"/>
      <c r="K28" s="150"/>
      <c r="L28" s="480"/>
      <c r="M28" s="150"/>
      <c r="N28" s="150"/>
      <c r="O28" s="150"/>
      <c r="S28" s="540" t="s">
        <v>413</v>
      </c>
      <c r="T28" s="540"/>
      <c r="U28" s="541"/>
      <c r="V28" s="544" t="str">
        <f>IF(TITLE_DATE_PR_CHANGE="",IF(TITLE_DATE_PR="","",TITLE_DATE_PR),TITLE_DATE_PR_CHANGE)</f>
        <v/>
      </c>
      <c r="W28" s="544"/>
      <c r="X28" s="544"/>
      <c r="Y28" s="544"/>
      <c r="Z28" s="544"/>
      <c r="AA28" s="544"/>
      <c r="AB28" s="50"/>
      <c r="AC28" s="544" t="str">
        <f>IF(TITLE_DATE_PR_CHANGE="",IF(TITLE_DATE_PR="","",TITLE_DATE_PR),TITLE_DATE_PR_CHANGE)</f>
        <v/>
      </c>
      <c r="AD28" s="544"/>
      <c r="AE28" s="544"/>
      <c r="AF28" s="544"/>
      <c r="AG28" s="544"/>
      <c r="AH28" s="544"/>
      <c r="AI28" s="50"/>
      <c r="AJ28" s="50"/>
      <c r="AK28" s="543"/>
      <c r="AL28" s="128"/>
      <c r="AM28" s="128"/>
      <c r="AN28" s="128"/>
      <c r="AO28" s="128"/>
      <c r="AP28" s="128"/>
    </row>
    <row r="29" s="185" customFormat="1" ht="18.75" hidden="1" customHeight="1">
      <c r="A29" s="150"/>
      <c r="B29" s="150"/>
      <c r="C29" s="150"/>
      <c r="D29" s="150"/>
      <c r="E29" s="150"/>
      <c r="F29" s="150"/>
      <c r="G29" s="150"/>
      <c r="H29" s="150"/>
      <c r="I29" s="150"/>
      <c r="J29" s="150"/>
      <c r="K29" s="150"/>
      <c r="L29" s="480"/>
      <c r="M29" s="150"/>
      <c r="N29" s="150"/>
      <c r="O29" s="150"/>
      <c r="S29" s="540" t="s">
        <v>414</v>
      </c>
      <c r="T29" s="540"/>
      <c r="U29" s="541"/>
      <c r="V29" s="542" t="str">
        <f>IF(TITLE_NUMBER_PR_CHANGE="",IF(TITLE_NUMBER_PR="","",TITLE_NUMBER_PR),TITLE_NUMBER_PR_CHANGE)</f>
        <v/>
      </c>
      <c r="W29" s="542"/>
      <c r="X29" s="542"/>
      <c r="Y29" s="542"/>
      <c r="Z29" s="542"/>
      <c r="AA29" s="542"/>
      <c r="AB29" s="50"/>
      <c r="AC29" s="542" t="str">
        <f>IF(TITLE_NUMBER_PR_CHANGE="",IF(TITLE_NUMBER_PR="","",TITLE_NUMBER_PR),TITLE_NUMBER_PR_CHANGE)</f>
        <v/>
      </c>
      <c r="AD29" s="542"/>
      <c r="AE29" s="542"/>
      <c r="AF29" s="542"/>
      <c r="AG29" s="542"/>
      <c r="AH29" s="542"/>
      <c r="AI29" s="50"/>
      <c r="AJ29" s="50"/>
      <c r="AK29" s="543"/>
      <c r="AL29" s="128"/>
      <c r="AM29" s="128"/>
      <c r="AN29" s="128"/>
      <c r="AO29" s="128"/>
      <c r="AP29" s="128"/>
    </row>
    <row r="30" s="185" customFormat="1" ht="18.75" hidden="1" customHeight="1">
      <c r="A30" s="150"/>
      <c r="B30" s="150"/>
      <c r="C30" s="150"/>
      <c r="D30" s="150"/>
      <c r="E30" s="150"/>
      <c r="F30" s="150"/>
      <c r="G30" s="150"/>
      <c r="H30" s="150"/>
      <c r="I30" s="150"/>
      <c r="J30" s="150"/>
      <c r="K30" s="150"/>
      <c r="L30" s="480"/>
      <c r="M30" s="150"/>
      <c r="N30" s="150"/>
      <c r="O30" s="150"/>
      <c r="S30" s="540" t="s">
        <v>39</v>
      </c>
      <c r="T30" s="540"/>
      <c r="U30" s="541"/>
      <c r="V30" s="542" t="str">
        <f>IF(TITLE_IST_PUB_CHANGE="",IF(TITLE_IST_PUB="","",TITLE_IST_PUB),TITLE_IST_PUB_CHANGE)</f>
        <v/>
      </c>
      <c r="W30" s="542"/>
      <c r="X30" s="542"/>
      <c r="Y30" s="542"/>
      <c r="Z30" s="542"/>
      <c r="AA30" s="542"/>
      <c r="AB30" s="50"/>
      <c r="AC30" s="542" t="str">
        <f>IF(TITLE_IST_PUB_CHANGE="",IF(TITLE_IST_PUB="","",TITLE_IST_PUB),TITLE_IST_PUB_CHANGE)</f>
        <v/>
      </c>
      <c r="AD30" s="542"/>
      <c r="AE30" s="542"/>
      <c r="AF30" s="542"/>
      <c r="AG30" s="542"/>
      <c r="AH30" s="542"/>
      <c r="AI30" s="50"/>
      <c r="AJ30" s="50"/>
      <c r="AK30" s="543"/>
      <c r="AL30" s="128"/>
      <c r="AM30" s="128"/>
      <c r="AN30" s="128"/>
      <c r="AO30" s="128"/>
      <c r="AP30" s="128"/>
    </row>
    <row r="31" ht="14.25" hidden="1" customHeight="1">
      <c r="Q31" s="537"/>
      <c r="R31" s="537"/>
      <c r="S31" s="538"/>
      <c r="T31" s="89"/>
      <c r="U31" s="89"/>
      <c r="V31" s="539"/>
      <c r="W31" s="539"/>
      <c r="X31" s="539"/>
      <c r="Y31" s="539"/>
      <c r="Z31" s="539"/>
      <c r="AA31" s="539"/>
      <c r="AB31" s="539"/>
      <c r="AC31" s="539"/>
      <c r="AD31" s="539"/>
      <c r="AE31" s="539"/>
      <c r="AF31" s="539"/>
      <c r="AG31" s="539"/>
      <c r="AH31" s="539"/>
      <c r="AI31" s="539"/>
      <c r="AJ31" s="50"/>
    </row>
    <row r="32" s="185" customFormat="1" ht="18.75" hidden="1" customHeight="1">
      <c r="A32" s="150"/>
      <c r="B32" s="150"/>
      <c r="C32" s="150"/>
      <c r="D32" s="150"/>
      <c r="E32" s="150"/>
      <c r="F32" s="150"/>
      <c r="G32" s="150"/>
      <c r="H32" s="150"/>
      <c r="I32" s="150"/>
      <c r="J32" s="150"/>
      <c r="K32" s="150"/>
      <c r="L32" s="480"/>
      <c r="M32" s="150"/>
      <c r="N32" s="150"/>
      <c r="O32" s="150"/>
      <c r="S32" s="540" t="s">
        <v>415</v>
      </c>
      <c r="T32" s="540"/>
      <c r="U32" s="541"/>
      <c r="V32" s="544" t="str">
        <f>IF(TITLE_DATE_PR_CHANGE="",IF(TITLE_DATE_PR="","",TITLE_DATE_PR),TITLE_DATE_PR_CHANGE)</f>
        <v/>
      </c>
      <c r="W32" s="544"/>
      <c r="X32" s="544"/>
      <c r="Y32" s="544"/>
      <c r="Z32" s="544"/>
      <c r="AA32" s="544"/>
      <c r="AB32" s="50"/>
      <c r="AC32" s="544" t="str">
        <f>IF(TITLE_DATE_PR_CHANGE="",IF(TITLE_DATE_PR="","",TITLE_DATE_PR),TITLE_DATE_PR_CHANGE)</f>
        <v/>
      </c>
      <c r="AD32" s="544"/>
      <c r="AE32" s="544"/>
      <c r="AF32" s="544"/>
      <c r="AG32" s="544"/>
      <c r="AH32" s="544"/>
      <c r="AI32" s="50"/>
      <c r="AJ32" s="50"/>
      <c r="AK32" s="543"/>
      <c r="AL32" s="128"/>
      <c r="AM32" s="128"/>
      <c r="AN32" s="128"/>
      <c r="AO32" s="128"/>
      <c r="AP32" s="128"/>
    </row>
    <row r="33" s="185" customFormat="1" ht="18.75" hidden="1" customHeight="1">
      <c r="A33" s="150"/>
      <c r="B33" s="150"/>
      <c r="C33" s="150"/>
      <c r="D33" s="150"/>
      <c r="E33" s="150"/>
      <c r="F33" s="150"/>
      <c r="G33" s="150"/>
      <c r="H33" s="150"/>
      <c r="I33" s="150"/>
      <c r="J33" s="150"/>
      <c r="K33" s="150"/>
      <c r="L33" s="480"/>
      <c r="M33" s="150"/>
      <c r="N33" s="150"/>
      <c r="O33" s="150"/>
      <c r="S33" s="540" t="s">
        <v>416</v>
      </c>
      <c r="T33" s="540"/>
      <c r="U33" s="541"/>
      <c r="V33" s="542" t="str">
        <f>IF(TITLE_NUMBER_PR_CHANGE="",IF(TITLE_NUMBER_PR="","",TITLE_NUMBER_PR),TITLE_NUMBER_PR_CHANGE)</f>
        <v/>
      </c>
      <c r="W33" s="542"/>
      <c r="X33" s="542"/>
      <c r="Y33" s="542"/>
      <c r="Z33" s="542"/>
      <c r="AA33" s="542"/>
      <c r="AB33" s="50"/>
      <c r="AC33" s="542" t="str">
        <f>IF(TITLE_NUMBER_PR_CHANGE="",IF(TITLE_NUMBER_PR="","",TITLE_NUMBER_PR),TITLE_NUMBER_PR_CHANGE)</f>
        <v/>
      </c>
      <c r="AD33" s="542"/>
      <c r="AE33" s="542"/>
      <c r="AF33" s="542"/>
      <c r="AG33" s="542"/>
      <c r="AH33" s="542"/>
      <c r="AI33" s="50"/>
      <c r="AJ33" s="50"/>
      <c r="AK33" s="543"/>
      <c r="AL33" s="128"/>
      <c r="AM33" s="128"/>
      <c r="AN33" s="128"/>
      <c r="AO33" s="128"/>
      <c r="AP33" s="128"/>
    </row>
    <row r="34" s="185" customFormat="1" ht="0.75" customHeight="1">
      <c r="A34" s="150"/>
      <c r="B34" s="150"/>
      <c r="C34" s="150"/>
      <c r="D34" s="150"/>
      <c r="E34" s="150"/>
      <c r="F34" s="150"/>
      <c r="G34" s="150"/>
      <c r="H34" s="150"/>
      <c r="I34" s="150"/>
      <c r="J34" s="150"/>
      <c r="K34" s="150"/>
      <c r="L34" s="480"/>
      <c r="M34" s="150"/>
      <c r="N34" s="150"/>
      <c r="O34" s="150"/>
      <c r="S34" s="50"/>
      <c r="T34" s="50"/>
      <c r="U34" s="139"/>
      <c r="V34" s="50"/>
      <c r="W34" s="50"/>
      <c r="X34" s="50"/>
      <c r="Y34" s="50"/>
      <c r="Z34" s="50"/>
      <c r="AA34" s="50"/>
      <c r="AB34" s="57" t="s">
        <v>417</v>
      </c>
      <c r="AC34" s="50"/>
      <c r="AD34" s="50"/>
      <c r="AE34" s="50"/>
      <c r="AF34" s="50"/>
      <c r="AG34" s="50"/>
      <c r="AH34" s="50"/>
      <c r="AI34" s="57" t="s">
        <v>417</v>
      </c>
      <c r="AL34" s="128"/>
      <c r="AM34" s="128"/>
      <c r="AN34" s="128"/>
      <c r="AO34" s="128"/>
      <c r="AP34" s="128"/>
    </row>
    <row r="35" ht="14.25" customHeight="1">
      <c r="Q35" s="537"/>
      <c r="R35" s="537"/>
      <c r="S35" s="538"/>
      <c r="T35" s="89"/>
      <c r="U35" s="545"/>
      <c r="V35" s="546"/>
      <c r="W35" s="546"/>
      <c r="X35" s="546"/>
      <c r="Y35" s="546"/>
      <c r="Z35" s="546"/>
      <c r="AA35" s="546"/>
      <c r="AB35" s="546"/>
      <c r="AC35" s="546"/>
      <c r="AD35" s="546"/>
      <c r="AE35" s="546"/>
      <c r="AF35" s="546"/>
      <c r="AG35" s="546"/>
      <c r="AH35" s="546"/>
      <c r="AI35" s="546"/>
    </row>
    <row r="36" ht="14.25" customHeight="1">
      <c r="Q36" s="537"/>
      <c r="R36" s="537"/>
      <c r="S36" s="156" t="s">
        <v>288</v>
      </c>
      <c r="T36" s="156"/>
      <c r="U36" s="156"/>
      <c r="V36" s="156"/>
      <c r="W36" s="156"/>
      <c r="X36" s="156"/>
      <c r="Y36" s="156"/>
      <c r="Z36" s="156"/>
      <c r="AA36" s="156"/>
      <c r="AB36" s="156"/>
      <c r="AC36" s="156"/>
      <c r="AD36" s="156"/>
      <c r="AE36" s="156"/>
      <c r="AF36" s="156"/>
      <c r="AG36" s="156"/>
      <c r="AH36" s="156"/>
      <c r="AI36" s="156"/>
      <c r="AJ36" s="156"/>
      <c r="AK36" s="156" t="s">
        <v>289</v>
      </c>
    </row>
    <row r="37" ht="14.25" customHeight="1">
      <c r="Q37" s="537"/>
      <c r="R37" s="537"/>
      <c r="S37" s="483" t="s">
        <v>85</v>
      </c>
      <c r="T37" s="347" t="s">
        <v>418</v>
      </c>
      <c r="U37" s="547"/>
      <c r="V37" s="548" t="s">
        <v>419</v>
      </c>
      <c r="W37" s="549"/>
      <c r="X37" s="549"/>
      <c r="Y37" s="549"/>
      <c r="Z37" s="549"/>
      <c r="AA37" s="550"/>
      <c r="AB37" s="551" t="s">
        <v>420</v>
      </c>
      <c r="AC37" s="548" t="s">
        <v>419</v>
      </c>
      <c r="AD37" s="549"/>
      <c r="AE37" s="549"/>
      <c r="AF37" s="549"/>
      <c r="AG37" s="549"/>
      <c r="AH37" s="550"/>
      <c r="AI37" s="551" t="s">
        <v>421</v>
      </c>
      <c r="AJ37" s="552" t="s">
        <v>422</v>
      </c>
      <c r="AK37" s="156"/>
    </row>
    <row r="38" ht="33.75" customHeight="1">
      <c r="Q38" s="537"/>
      <c r="R38" s="537"/>
      <c r="S38" s="483"/>
      <c r="T38" s="347"/>
      <c r="U38" s="553"/>
      <c r="V38" s="306" t="s">
        <v>479</v>
      </c>
      <c r="W38" s="73" t="s">
        <v>425</v>
      </c>
      <c r="X38" s="72"/>
      <c r="Y38" s="73" t="s">
        <v>426</v>
      </c>
      <c r="Z38" s="144"/>
      <c r="AA38" s="72"/>
      <c r="AB38" s="555"/>
      <c r="AC38" s="306" t="s">
        <v>479</v>
      </c>
      <c r="AD38" s="73" t="s">
        <v>425</v>
      </c>
      <c r="AE38" s="72"/>
      <c r="AF38" s="73" t="s">
        <v>426</v>
      </c>
      <c r="AG38" s="144"/>
      <c r="AH38" s="72"/>
      <c r="AI38" s="555"/>
      <c r="AJ38" s="556"/>
      <c r="AK38" s="156"/>
    </row>
    <row r="39" ht="33.75" customHeight="1">
      <c r="A39" s="150"/>
      <c r="B39" s="150" t="s">
        <v>137</v>
      </c>
      <c r="C39" s="150" t="s">
        <v>138</v>
      </c>
      <c r="D39" s="150" t="s">
        <v>139</v>
      </c>
      <c r="E39" s="480" t="s">
        <v>427</v>
      </c>
      <c r="F39" s="480" t="s">
        <v>428</v>
      </c>
      <c r="G39" s="480" t="s">
        <v>429</v>
      </c>
      <c r="H39" s="480"/>
      <c r="I39" s="480" t="s">
        <v>480</v>
      </c>
      <c r="J39" s="480" t="s">
        <v>432</v>
      </c>
      <c r="K39" s="480" t="s">
        <v>481</v>
      </c>
      <c r="L39" s="480" t="s">
        <v>408</v>
      </c>
      <c r="Q39" s="537"/>
      <c r="R39" s="537"/>
      <c r="S39" s="483"/>
      <c r="T39" s="347"/>
      <c r="U39" s="557"/>
      <c r="V39" s="306" t="s">
        <v>482</v>
      </c>
      <c r="W39" s="247" t="s">
        <v>483</v>
      </c>
      <c r="X39" s="247" t="s">
        <v>484</v>
      </c>
      <c r="Y39" s="247" t="s">
        <v>436</v>
      </c>
      <c r="Z39" s="414" t="s">
        <v>437</v>
      </c>
      <c r="AA39" s="416"/>
      <c r="AB39" s="559"/>
      <c r="AC39" s="306" t="s">
        <v>482</v>
      </c>
      <c r="AD39" s="247" t="s">
        <v>483</v>
      </c>
      <c r="AE39" s="247" t="s">
        <v>484</v>
      </c>
      <c r="AF39" s="247" t="s">
        <v>436</v>
      </c>
      <c r="AG39" s="414" t="s">
        <v>437</v>
      </c>
      <c r="AH39" s="416"/>
      <c r="AI39" s="559"/>
      <c r="AJ39" s="560"/>
      <c r="AK39" s="156"/>
    </row>
    <row r="40" s="130" customFormat="1" ht="0" customHeight="1">
      <c r="A40" s="150"/>
      <c r="B40" s="150"/>
      <c r="C40" s="150"/>
      <c r="D40" s="150"/>
      <c r="E40" s="150"/>
      <c r="F40" s="150"/>
      <c r="G40" s="150"/>
      <c r="H40" s="150"/>
      <c r="I40" s="150"/>
      <c r="J40" s="150"/>
      <c r="K40" s="150"/>
      <c r="L40" s="480"/>
      <c r="M40" s="61"/>
      <c r="N40" s="61"/>
      <c r="O40" s="61"/>
      <c r="P40" s="561"/>
      <c r="Q40" s="562"/>
      <c r="R40" s="563">
        <v>1</v>
      </c>
      <c r="S40" s="564" t="s">
        <v>111</v>
      </c>
      <c r="T40" s="565" t="s">
        <v>99</v>
      </c>
      <c r="U40" s="566" t="str">
        <f ca="1">OFFSET(U40,0,-1)</f>
        <v>2</v>
      </c>
      <c r="V40" s="567">
        <f ca="1">OFFSET(V40,0,-1)+1</f>
        <v>3</v>
      </c>
      <c r="W40" s="567">
        <f ca="1">OFFSET(W40,0,-1)+1</f>
        <v>4</v>
      </c>
      <c r="X40" s="567">
        <f ca="1">OFFSET(X40,0,-1)+1</f>
        <v>5</v>
      </c>
      <c r="Y40" s="567">
        <f ca="1">OFFSET(Y40,0,-1)+1</f>
        <v>6</v>
      </c>
      <c r="Z40" s="567">
        <f ca="1">OFFSET(Z40,0,-1)+1</f>
        <v>7</v>
      </c>
      <c r="AA40" s="567"/>
      <c r="AB40" s="567">
        <f ca="1">OFFSET(AB40,0,-2)+1</f>
        <v>8</v>
      </c>
      <c r="AC40" s="567">
        <f ca="1">OFFSET(AC40,0,-1)+1</f>
        <v>9</v>
      </c>
      <c r="AD40" s="567">
        <f ca="1">OFFSET(AD40,0,-1)+1</f>
        <v>10</v>
      </c>
      <c r="AE40" s="567">
        <f ca="1">OFFSET(AE40,0,-1)+1</f>
        <v>11</v>
      </c>
      <c r="AF40" s="567">
        <f ca="1">OFFSET(AF40,0,-1)+1</f>
        <v>12</v>
      </c>
      <c r="AG40" s="567">
        <f ca="1">OFFSET(AG40,0,-1)+1</f>
        <v>13</v>
      </c>
      <c r="AH40" s="567"/>
      <c r="AI40" s="567">
        <f ca="1">OFFSET(AI40,0,-2)+1</f>
        <v>14</v>
      </c>
      <c r="AJ40" s="566">
        <f ca="1">OFFSET(AJ40,0,-1)</f>
        <v>14</v>
      </c>
      <c r="AK40" s="567">
        <f ca="1">OFFSET(AK40,0,-1)+1</f>
        <v>15</v>
      </c>
      <c r="AL40" s="57"/>
      <c r="AM40" s="57"/>
      <c r="AN40" s="57"/>
      <c r="AO40" s="57"/>
      <c r="AP40" s="57"/>
    </row>
    <row r="41" ht="23.25" customHeight="1">
      <c r="A41" s="478" t="s">
        <v>229</v>
      </c>
      <c r="B41" s="478"/>
      <c r="C41" s="478"/>
      <c r="D41" s="478"/>
      <c r="E41" s="479">
        <v>1</v>
      </c>
      <c r="F41" s="478"/>
      <c r="G41" s="478"/>
      <c r="H41" s="478"/>
      <c r="I41" s="478"/>
      <c r="J41" s="478"/>
      <c r="K41" s="478"/>
      <c r="L41" s="480"/>
      <c r="M41" s="481"/>
      <c r="N41" s="481"/>
      <c r="O41" s="481"/>
      <c r="P41" s="60"/>
      <c r="Q41" s="142"/>
      <c r="R41" s="482"/>
      <c r="S41" s="483">
        <f>INDEX(PT_DIFFERENTIATION_NUM_NTAR,MATCH(A41,PT_DIFFERENTIATION_NTAR_ID,0))</f>
        <v>0</v>
      </c>
      <c r="T41" s="484" t="s">
        <v>125</v>
      </c>
      <c r="U41" s="485"/>
      <c r="V41" s="486"/>
      <c r="W41" s="487"/>
      <c r="X41" s="487"/>
      <c r="Y41" s="487"/>
      <c r="Z41" s="487"/>
      <c r="AA41" s="487"/>
      <c r="AB41" s="488"/>
      <c r="AC41" s="486" t="str">
        <f>INDEX(PT_DIFFERENTIATION_NTAR,MATCH(A41,PT_DIFFERENTIATION_NTAR_ID,0))</f>
        <v/>
      </c>
      <c r="AD41" s="487"/>
      <c r="AE41" s="487"/>
      <c r="AF41" s="487"/>
      <c r="AG41" s="487"/>
      <c r="AH41" s="487"/>
      <c r="AI41" s="487"/>
      <c r="AJ41" s="488"/>
      <c r="AK41"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8"/>
      <c r="AN41" s="128" t="str">
        <f t="shared" si="27"/>
        <v xml:space="preserve">Наименование тарифа</v>
      </c>
      <c r="AO41" s="128"/>
      <c r="AP41" s="128"/>
    </row>
    <row r="42" ht="23.25" customHeight="1">
      <c r="A42" s="478" t="s">
        <v>229</v>
      </c>
      <c r="B42" s="478" t="s">
        <v>230</v>
      </c>
      <c r="C42" s="478"/>
      <c r="D42" s="478"/>
      <c r="E42" s="490"/>
      <c r="F42" s="479">
        <v>1</v>
      </c>
      <c r="G42" s="478"/>
      <c r="H42" s="478"/>
      <c r="I42" s="478"/>
      <c r="J42" s="478"/>
      <c r="K42" s="478"/>
      <c r="L42" s="480"/>
      <c r="M42" s="481"/>
      <c r="N42" s="481"/>
      <c r="O42" s="481"/>
      <c r="P42" s="51"/>
      <c r="Q42" s="491"/>
      <c r="R42" s="492"/>
      <c r="S42" s="483" t="str">
        <f>INDEX(PT_DIFFERENTIATION_NUM_TER,MATCH(B42,PT_DIFFERENTIATION_TER_ID,0))</f>
        <v>.</v>
      </c>
      <c r="T42" s="493" t="s">
        <v>387</v>
      </c>
      <c r="U42" s="485"/>
      <c r="V42" s="486"/>
      <c r="W42" s="487"/>
      <c r="X42" s="487"/>
      <c r="Y42" s="487"/>
      <c r="Z42" s="487"/>
      <c r="AA42" s="487"/>
      <c r="AB42" s="488"/>
      <c r="AC42" s="486" t="str">
        <f>INDEX(PT_DIFFERENTIATION_TER,MATCH(B42,PT_DIFFERENTIATION_TER_ID,0))</f>
        <v/>
      </c>
      <c r="AD42" s="487"/>
      <c r="AE42" s="487"/>
      <c r="AF42" s="487"/>
      <c r="AG42" s="487"/>
      <c r="AH42" s="487"/>
      <c r="AI42" s="487"/>
      <c r="AJ42" s="488"/>
      <c r="AK42" s="489" t="s">
        <v>388</v>
      </c>
      <c r="AM42" s="128"/>
      <c r="AN42" s="128" t="str">
        <f t="shared" si="27"/>
        <v xml:space="preserve">Территория действия тарифа</v>
      </c>
      <c r="AO42" s="128"/>
      <c r="AP42" s="128"/>
    </row>
    <row r="43" ht="23.25" customHeight="1">
      <c r="A43" s="478" t="s">
        <v>229</v>
      </c>
      <c r="B43" s="478" t="s">
        <v>230</v>
      </c>
      <c r="C43" s="478" t="s">
        <v>231</v>
      </c>
      <c r="D43" s="478"/>
      <c r="E43" s="490"/>
      <c r="F43" s="490"/>
      <c r="G43" s="479">
        <v>1</v>
      </c>
      <c r="H43" s="478"/>
      <c r="I43" s="478"/>
      <c r="J43" s="478"/>
      <c r="K43" s="478"/>
      <c r="L43" s="480"/>
      <c r="M43" s="481"/>
      <c r="N43" s="481"/>
      <c r="O43" s="481"/>
      <c r="P43" s="494"/>
      <c r="Q43" s="491"/>
      <c r="R43" s="492"/>
      <c r="S43" s="483" t="str">
        <f>INDEX(PT_DIFFERENTIATION_NUM_CS,MATCH(C43,PT_DIFFERENTIATION_CS_ID,0))</f>
        <v>..</v>
      </c>
      <c r="T43" s="495" t="s">
        <v>471</v>
      </c>
      <c r="U43" s="485"/>
      <c r="V43" s="486"/>
      <c r="W43" s="487"/>
      <c r="X43" s="487"/>
      <c r="Y43" s="487"/>
      <c r="Z43" s="487"/>
      <c r="AA43" s="487"/>
      <c r="AB43" s="488"/>
      <c r="AC43" s="486" t="str">
        <f>INDEX(PT_DIFFERENTIATION_CS,MATCH(C43,PT_DIFFERENTIATION_CS_ID,0))</f>
        <v/>
      </c>
      <c r="AD43" s="487"/>
      <c r="AE43" s="487"/>
      <c r="AF43" s="487"/>
      <c r="AG43" s="487"/>
      <c r="AH43" s="487"/>
      <c r="AI43" s="487"/>
      <c r="AJ43" s="488"/>
      <c r="AK43" s="489" t="s">
        <v>472</v>
      </c>
      <c r="AM43" s="128"/>
      <c r="AN43" s="128" t="str">
        <f t="shared" si="27"/>
        <v xml:space="preserve">Наименование централизованной системы холодного водоснабжения</v>
      </c>
      <c r="AO43" s="128"/>
      <c r="AP43" s="128"/>
    </row>
    <row r="44" ht="23.25" customHeight="1">
      <c r="A44" s="478" t="s">
        <v>229</v>
      </c>
      <c r="B44" s="478" t="s">
        <v>230</v>
      </c>
      <c r="C44" s="478" t="s">
        <v>231</v>
      </c>
      <c r="D44" s="478" t="s">
        <v>488</v>
      </c>
      <c r="E44" s="490"/>
      <c r="F44" s="490"/>
      <c r="G44" s="490"/>
      <c r="H44" s="490"/>
      <c r="I44" s="167" t="str">
        <f>S43&amp;".1"</f>
        <v>...1</v>
      </c>
      <c r="J44" s="478"/>
      <c r="K44" s="478"/>
      <c r="L44" s="480"/>
      <c r="P44" s="131">
        <v>1</v>
      </c>
      <c r="Q44" s="131"/>
      <c r="R44" s="497"/>
      <c r="S44" s="483" t="str">
        <f>$I44</f>
        <v>...1</v>
      </c>
      <c r="T44" s="498" t="s">
        <v>473</v>
      </c>
      <c r="U44" s="485"/>
      <c r="V44" s="658"/>
      <c r="W44" s="659"/>
      <c r="X44" s="659"/>
      <c r="Y44" s="659"/>
      <c r="Z44" s="659"/>
      <c r="AA44" s="659"/>
      <c r="AB44" s="660"/>
      <c r="AC44" s="661"/>
      <c r="AD44" s="662"/>
      <c r="AE44" s="662"/>
      <c r="AF44" s="662"/>
      <c r="AG44" s="662"/>
      <c r="AH44" s="662"/>
      <c r="AI44" s="662"/>
      <c r="AJ44" s="663"/>
      <c r="AK44" s="489" t="s">
        <v>474</v>
      </c>
      <c r="AM44" s="128"/>
      <c r="AN44" s="128" t="str">
        <f t="shared" si="27"/>
        <v xml:space="preserve">Наименование признака дифференциации</v>
      </c>
      <c r="AO44" s="128"/>
      <c r="AP44" s="128"/>
    </row>
    <row r="45" ht="23.25" customHeight="1">
      <c r="A45" s="478" t="s">
        <v>229</v>
      </c>
      <c r="B45" s="478" t="s">
        <v>230</v>
      </c>
      <c r="C45" s="478" t="s">
        <v>231</v>
      </c>
      <c r="D45" s="478" t="s">
        <v>488</v>
      </c>
      <c r="E45" s="490"/>
      <c r="F45" s="490"/>
      <c r="G45" s="490"/>
      <c r="H45" s="490"/>
      <c r="I45" s="501"/>
      <c r="J45" s="167" t="str">
        <f>I44&amp;".1"</f>
        <v>...1.1</v>
      </c>
      <c r="K45" s="478"/>
      <c r="L45" s="480" t="s">
        <v>396</v>
      </c>
      <c r="P45" s="131"/>
      <c r="Q45" s="131">
        <v>1</v>
      </c>
      <c r="R45" s="502"/>
      <c r="S45" s="483" t="str">
        <f>$J45</f>
        <v>...1.1</v>
      </c>
      <c r="T45" s="503" t="s">
        <v>397</v>
      </c>
      <c r="U45" s="485"/>
      <c r="V45" s="430"/>
      <c r="W45" s="499"/>
      <c r="X45" s="499"/>
      <c r="Y45" s="499"/>
      <c r="Z45" s="499"/>
      <c r="AA45" s="499"/>
      <c r="AB45" s="500"/>
      <c r="AC45" s="430"/>
      <c r="AD45" s="499"/>
      <c r="AE45" s="499"/>
      <c r="AF45" s="499"/>
      <c r="AG45" s="499"/>
      <c r="AH45" s="499"/>
      <c r="AI45" s="499"/>
      <c r="AJ45" s="500"/>
      <c r="AK45" s="593" t="s">
        <v>475</v>
      </c>
      <c r="AM45" s="128"/>
      <c r="AN45" s="128" t="str">
        <f t="shared" si="27"/>
        <v xml:space="preserve">Группа потребителей</v>
      </c>
      <c r="AO45" s="128"/>
      <c r="AP45" s="128"/>
    </row>
    <row r="46" ht="23.25" customHeight="1">
      <c r="A46" s="478" t="s">
        <v>229</v>
      </c>
      <c r="B46" s="478" t="s">
        <v>230</v>
      </c>
      <c r="C46" s="478" t="s">
        <v>231</v>
      </c>
      <c r="D46" s="478" t="s">
        <v>488</v>
      </c>
      <c r="E46" s="490"/>
      <c r="F46" s="490"/>
      <c r="G46" s="490"/>
      <c r="H46" s="490"/>
      <c r="I46" s="501"/>
      <c r="J46" s="501"/>
      <c r="K46" s="167" t="str">
        <f>J45&amp;".1"</f>
        <v>...1.1.1</v>
      </c>
      <c r="L46" s="480"/>
      <c r="P46" s="131"/>
      <c r="Q46" s="131"/>
      <c r="R46" s="502">
        <v>1</v>
      </c>
      <c r="S46" s="483" t="str">
        <f>$K46</f>
        <v>...1.1.1</v>
      </c>
      <c r="T46" s="664"/>
      <c r="U46" s="485"/>
      <c r="V46" s="505"/>
      <c r="W46" s="505"/>
      <c r="X46" s="507"/>
      <c r="Y46" s="508"/>
      <c r="Z46" s="225" t="s">
        <v>56</v>
      </c>
      <c r="AA46" s="508"/>
      <c r="AB46" s="225" t="s">
        <v>56</v>
      </c>
      <c r="AC46" s="505"/>
      <c r="AD46" s="505"/>
      <c r="AE46" s="507"/>
      <c r="AF46" s="508"/>
      <c r="AG46" s="225" t="s">
        <v>56</v>
      </c>
      <c r="AH46" s="568"/>
      <c r="AI46" s="225" t="s">
        <v>56</v>
      </c>
      <c r="AJ46" s="665"/>
      <c r="AK46"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8"/>
      <c r="AN46" s="128" t="str">
        <f t="shared" si="27"/>
        <v/>
      </c>
      <c r="AO46" s="128"/>
      <c r="AP46" s="128"/>
    </row>
    <row r="47" ht="0" customHeight="1">
      <c r="A47" s="478" t="s">
        <v>229</v>
      </c>
      <c r="B47" s="478" t="s">
        <v>230</v>
      </c>
      <c r="C47" s="478" t="s">
        <v>231</v>
      </c>
      <c r="D47" s="478" t="s">
        <v>488</v>
      </c>
      <c r="E47" s="490"/>
      <c r="F47" s="490"/>
      <c r="G47" s="490"/>
      <c r="H47" s="490"/>
      <c r="I47" s="501"/>
      <c r="J47" s="501"/>
      <c r="K47" s="167"/>
      <c r="L47" s="480"/>
      <c r="P47" s="131"/>
      <c r="Q47" s="131"/>
      <c r="R47" s="502"/>
      <c r="S47" s="457"/>
      <c r="T47" s="485"/>
      <c r="U47" s="485"/>
      <c r="V47" s="506"/>
      <c r="W47" s="506"/>
      <c r="X47" s="510" t="str">
        <f>Y46&amp;"-"&amp;AA46</f>
        <v>-</v>
      </c>
      <c r="Y47" s="511"/>
      <c r="Z47" s="225"/>
      <c r="AA47" s="511"/>
      <c r="AB47" s="225"/>
      <c r="AC47" s="506"/>
      <c r="AD47" s="506"/>
      <c r="AE47" s="510" t="str">
        <f>AF46&amp;"-"&amp;AH46</f>
        <v>-</v>
      </c>
      <c r="AF47" s="511"/>
      <c r="AG47" s="225"/>
      <c r="AH47" s="570"/>
      <c r="AI47" s="225"/>
      <c r="AJ47" s="667"/>
      <c r="AK47" s="666"/>
      <c r="AM47" s="128"/>
      <c r="AN47" s="128" t="str">
        <f t="shared" si="27"/>
        <v/>
      </c>
      <c r="AO47" s="128"/>
      <c r="AP47" s="128"/>
    </row>
    <row r="48" ht="21" customHeight="1">
      <c r="A48" s="478" t="s">
        <v>229</v>
      </c>
      <c r="B48" s="478" t="s">
        <v>230</v>
      </c>
      <c r="C48" s="478" t="s">
        <v>231</v>
      </c>
      <c r="D48" s="478" t="s">
        <v>488</v>
      </c>
      <c r="E48" s="490"/>
      <c r="F48" s="490"/>
      <c r="G48" s="490"/>
      <c r="H48" s="490"/>
      <c r="I48" s="501"/>
      <c r="J48" s="167"/>
      <c r="K48" s="478"/>
      <c r="L48" s="480"/>
      <c r="P48" s="131"/>
      <c r="Q48" s="131"/>
      <c r="R48" s="497"/>
      <c r="S48" s="513"/>
      <c r="T48" s="517" t="s">
        <v>476</v>
      </c>
      <c r="U48" s="215"/>
      <c r="V48" s="215"/>
      <c r="W48" s="215"/>
      <c r="X48" s="215"/>
      <c r="Y48" s="215"/>
      <c r="Z48" s="215"/>
      <c r="AA48" s="215"/>
      <c r="AB48" s="215"/>
      <c r="AC48" s="215"/>
      <c r="AD48" s="215"/>
      <c r="AE48" s="215"/>
      <c r="AF48" s="215"/>
      <c r="AG48" s="215"/>
      <c r="AH48" s="215"/>
      <c r="AI48" s="215"/>
      <c r="AJ48" s="215"/>
      <c r="AK48" s="489" t="s">
        <v>477</v>
      </c>
      <c r="AM48" s="128"/>
      <c r="AN48" s="128" t="str">
        <f t="shared" si="27"/>
        <v xml:space="preserve">Добавить значение признака дифференциации</v>
      </c>
      <c r="AO48" s="128"/>
      <c r="AP48" s="128"/>
    </row>
    <row r="49" ht="21" customHeight="1">
      <c r="A49" s="478" t="s">
        <v>229</v>
      </c>
      <c r="B49" s="478" t="s">
        <v>230</v>
      </c>
      <c r="C49" s="478" t="s">
        <v>231</v>
      </c>
      <c r="D49" s="478" t="s">
        <v>488</v>
      </c>
      <c r="E49" s="490"/>
      <c r="F49" s="490"/>
      <c r="G49" s="490"/>
      <c r="H49" s="490"/>
      <c r="I49" s="167"/>
      <c r="J49" s="478"/>
      <c r="K49" s="478"/>
      <c r="L49" s="480"/>
      <c r="P49" s="131"/>
      <c r="Q49" s="131"/>
      <c r="R49" s="497"/>
      <c r="S49" s="513"/>
      <c r="T49" s="521" t="s">
        <v>402</v>
      </c>
      <c r="U49" s="215"/>
      <c r="V49" s="215"/>
      <c r="W49" s="215"/>
      <c r="X49" s="215"/>
      <c r="Y49" s="215"/>
      <c r="Z49" s="215"/>
      <c r="AA49" s="215"/>
      <c r="AB49" s="518"/>
      <c r="AC49" s="215"/>
      <c r="AD49" s="215"/>
      <c r="AE49" s="215"/>
      <c r="AF49" s="215"/>
      <c r="AG49" s="215"/>
      <c r="AH49" s="215"/>
      <c r="AI49" s="518"/>
      <c r="AJ49" s="215"/>
      <c r="AK49" s="668"/>
      <c r="AM49" s="128"/>
      <c r="AN49" s="128" t="str">
        <f t="shared" si="27"/>
        <v xml:space="preserve">Добавить группу потребителей</v>
      </c>
      <c r="AO49" s="128"/>
      <c r="AP49" s="128"/>
    </row>
    <row r="50" ht="21" customHeight="1">
      <c r="A50" s="478" t="s">
        <v>229</v>
      </c>
      <c r="B50" s="478" t="s">
        <v>230</v>
      </c>
      <c r="C50" s="478" t="s">
        <v>231</v>
      </c>
      <c r="D50" s="478" t="s">
        <v>488</v>
      </c>
      <c r="E50" s="490"/>
      <c r="F50" s="490"/>
      <c r="G50" s="490"/>
      <c r="H50" s="479"/>
      <c r="I50" s="478"/>
      <c r="J50" s="478"/>
      <c r="K50" s="478"/>
      <c r="L50" s="480"/>
      <c r="M50" s="481"/>
      <c r="N50" s="481"/>
      <c r="O50" s="53"/>
      <c r="P50" s="142"/>
      <c r="Q50" s="520"/>
      <c r="R50" s="482"/>
      <c r="S50" s="513"/>
      <c r="T50" s="669" t="s">
        <v>478</v>
      </c>
      <c r="U50" s="215"/>
      <c r="V50" s="215"/>
      <c r="W50" s="215"/>
      <c r="X50" s="215"/>
      <c r="Y50" s="215"/>
      <c r="Z50" s="215"/>
      <c r="AA50" s="215"/>
      <c r="AB50" s="518"/>
      <c r="AC50" s="215"/>
      <c r="AD50" s="215"/>
      <c r="AE50" s="215"/>
      <c r="AF50" s="215"/>
      <c r="AG50" s="215"/>
      <c r="AH50" s="215"/>
      <c r="AI50" s="518"/>
      <c r="AJ50" s="215"/>
      <c r="AK50" s="519"/>
      <c r="AM50" s="128"/>
      <c r="AN50" s="128" t="str">
        <f t="shared" si="27"/>
        <v xml:space="preserve">Добавить наименование признака дифференциации</v>
      </c>
      <c r="AO50" s="128"/>
      <c r="AP50" s="128"/>
    </row>
    <row r="51" s="57" customFormat="1" ht="0" customHeight="1">
      <c r="A51" s="132" t="s">
        <v>229</v>
      </c>
      <c r="B51" s="132" t="s">
        <v>230</v>
      </c>
      <c r="C51" s="132"/>
      <c r="D51" s="132"/>
      <c r="E51" s="490"/>
      <c r="F51" s="479"/>
      <c r="G51" s="132"/>
      <c r="H51" s="132"/>
      <c r="I51" s="132"/>
      <c r="J51" s="132"/>
      <c r="K51" s="132"/>
      <c r="L51" s="213"/>
      <c r="M51" s="526"/>
      <c r="N51" s="526"/>
      <c r="P51" s="166"/>
      <c r="Q51" s="522"/>
      <c r="R51" s="166"/>
      <c r="S51" s="527"/>
      <c r="T51" s="530" t="s">
        <v>405</v>
      </c>
      <c r="U51" s="529"/>
      <c r="V51" s="529"/>
      <c r="W51" s="529"/>
      <c r="X51" s="529"/>
      <c r="Y51" s="529"/>
      <c r="Z51" s="529"/>
      <c r="AA51" s="529"/>
      <c r="AB51" s="529"/>
      <c r="AC51" s="529"/>
      <c r="AD51" s="529"/>
      <c r="AE51" s="529"/>
      <c r="AF51" s="529"/>
      <c r="AG51" s="529"/>
      <c r="AH51" s="529"/>
      <c r="AI51" s="529"/>
      <c r="AJ51" s="529"/>
      <c r="AK51" s="529"/>
      <c r="AM51" s="128"/>
      <c r="AN51" s="128" t="str">
        <f t="shared" si="27"/>
        <v xml:space="preserve">Добавить централизованную систему для дифференциации</v>
      </c>
      <c r="AO51" s="128"/>
      <c r="AP51" s="128"/>
    </row>
    <row r="52" s="57" customFormat="1" ht="0" customHeight="1">
      <c r="A52" s="132" t="s">
        <v>229</v>
      </c>
      <c r="B52" s="132"/>
      <c r="C52" s="132"/>
      <c r="D52" s="132"/>
      <c r="E52" s="479"/>
      <c r="F52" s="132"/>
      <c r="G52" s="132"/>
      <c r="H52" s="132"/>
      <c r="I52" s="132"/>
      <c r="J52" s="132"/>
      <c r="K52" s="132"/>
      <c r="L52" s="213"/>
      <c r="M52" s="526"/>
      <c r="N52" s="526"/>
      <c r="O52" s="57"/>
      <c r="P52" s="166"/>
      <c r="Q52" s="522"/>
      <c r="R52" s="166"/>
      <c r="S52" s="527"/>
      <c r="T52" s="530" t="s">
        <v>406</v>
      </c>
      <c r="U52" s="529"/>
      <c r="V52" s="529"/>
      <c r="W52" s="529"/>
      <c r="X52" s="529"/>
      <c r="Y52" s="529"/>
      <c r="Z52" s="529"/>
      <c r="AA52" s="529"/>
      <c r="AB52" s="529"/>
      <c r="AC52" s="529"/>
      <c r="AD52" s="529"/>
      <c r="AE52" s="529"/>
      <c r="AF52" s="529"/>
      <c r="AG52" s="529"/>
      <c r="AH52" s="529"/>
      <c r="AI52" s="529"/>
      <c r="AJ52" s="529"/>
      <c r="AK52" s="529"/>
      <c r="AM52" s="128"/>
      <c r="AN52" s="128" t="str">
        <f t="shared" si="27"/>
        <v xml:space="preserve">Добавить территорию для дифференциации</v>
      </c>
      <c r="AO52" s="128"/>
      <c r="AP52" s="128"/>
    </row>
    <row r="53" s="57" customFormat="1" ht="0" customHeight="1">
      <c r="A53" s="132"/>
      <c r="B53" s="132"/>
      <c r="C53" s="132"/>
      <c r="D53" s="132"/>
      <c r="E53" s="132"/>
      <c r="F53" s="132"/>
      <c r="G53" s="132"/>
      <c r="H53" s="132"/>
      <c r="I53" s="132"/>
      <c r="J53" s="132"/>
      <c r="K53" s="132"/>
      <c r="L53" s="213"/>
      <c r="M53" s="526"/>
      <c r="N53" s="526"/>
      <c r="P53" s="166"/>
      <c r="Q53" s="522"/>
      <c r="R53" s="166"/>
      <c r="S53" s="527"/>
      <c r="T53" s="530" t="s">
        <v>438</v>
      </c>
      <c r="U53" s="529"/>
      <c r="V53" s="529"/>
      <c r="W53" s="529"/>
      <c r="X53" s="529"/>
      <c r="Y53" s="529"/>
      <c r="Z53" s="529"/>
      <c r="AA53" s="529"/>
      <c r="AB53" s="529"/>
      <c r="AC53" s="529"/>
      <c r="AD53" s="529"/>
      <c r="AE53" s="529"/>
      <c r="AF53" s="529"/>
      <c r="AG53" s="529"/>
      <c r="AH53" s="529"/>
      <c r="AI53" s="529"/>
      <c r="AJ53" s="529"/>
      <c r="AK53" s="529"/>
      <c r="AM53" s="128"/>
      <c r="AN53" s="128" t="str">
        <f t="shared" si="27"/>
        <v xml:space="preserve">Добавить наименование тарифа</v>
      </c>
      <c r="AO53" s="128"/>
      <c r="AP53" s="128"/>
    </row>
    <row r="54" ht="11.25" customHeight="1">
      <c r="M54" s="53"/>
      <c r="N54" s="53"/>
      <c r="O54" s="53"/>
      <c r="P54" s="50"/>
      <c r="Q54" s="50"/>
      <c r="R54" s="50"/>
      <c r="S54" s="50"/>
      <c r="AL54" s="50"/>
      <c r="AM54" s="50"/>
      <c r="AN54" s="50"/>
      <c r="AO54" s="50"/>
      <c r="AP54" s="50"/>
    </row>
    <row r="55" ht="14.25" customHeight="1">
      <c r="O55" s="53"/>
      <c r="S55" s="475"/>
      <c r="T55" s="572"/>
      <c r="U55" s="572"/>
      <c r="V55" s="572"/>
      <c r="W55" s="572"/>
      <c r="X55" s="572"/>
      <c r="Y55" s="572"/>
      <c r="Z55" s="572"/>
      <c r="AA55" s="572"/>
      <c r="AB55" s="572"/>
      <c r="AC55" s="572"/>
      <c r="AD55" s="572"/>
      <c r="AE55" s="572"/>
      <c r="AF55" s="572"/>
      <c r="AG55" s="572"/>
      <c r="AH55" s="572"/>
      <c r="AI55" s="572"/>
      <c r="AJ55" s="572"/>
      <c r="AK55" s="572"/>
    </row>
    <row r="56" ht="14.25" customHeight="1">
      <c r="O56" s="53"/>
    </row>
    <row r="57" ht="14.25" customHeight="1">
      <c r="O57" s="53"/>
      <c r="S57" s="475"/>
      <c r="T57" s="572"/>
      <c r="U57" s="572"/>
      <c r="V57" s="572"/>
      <c r="W57" s="572"/>
      <c r="X57" s="572"/>
      <c r="Y57" s="572"/>
      <c r="Z57" s="572"/>
      <c r="AA57" s="572"/>
      <c r="AB57" s="572"/>
      <c r="AC57" s="572"/>
      <c r="AD57" s="572"/>
      <c r="AE57" s="572"/>
      <c r="AF57" s="572"/>
      <c r="AG57" s="572"/>
      <c r="AH57" s="572"/>
      <c r="AI57" s="572"/>
      <c r="AJ57" s="572"/>
      <c r="AK57" s="572"/>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30056-00A7-4A53-B559-005900210033}"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790060-0067-436E-B008-00620016000E}"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3300B4-00EF-4918-A607-009600C80012}"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ED003A-00C9-484D-9A84-001200AF0040}"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R27" zoomScale="90" workbookViewId="0">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1" width="3.7109375"/>
    <col customWidth="1" hidden="1" min="17" max="17" style="536" width="3.7109375"/>
    <col customWidth="1" min="18" max="18" style="477" width="3.7109375"/>
    <col customWidth="1" min="19" max="19" style="322" width="12.7109375"/>
    <col customWidth="1" min="20" max="20" style="50" width="32.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2" style="50" width="3.7109375"/>
    <col customWidth="1" min="33" max="33" style="50" width="24.7109375"/>
    <col customWidth="1" min="34" max="36" style="50" width="3.7109375"/>
    <col customWidth="1" min="37" max="37" style="50" width="24.7109375"/>
    <col customWidth="1" min="38" max="40" style="50" width="3.7109375"/>
    <col customWidth="1" min="41" max="41" style="50" width="18.8515625"/>
    <col customWidth="1" min="42" max="44" style="50" width="3.7109375"/>
    <col customWidth="1" min="45" max="45" style="50" width="18.8515625"/>
    <col customWidth="1" min="46" max="49" style="50" width="21.7109375"/>
    <col customWidth="1" min="50" max="50" style="50" width="11.7109375"/>
    <col customWidth="1" min="51" max="51" style="50" width="3.7109375"/>
    <col customWidth="1" min="52" max="52" style="50" width="11.7109375"/>
    <col customWidth="1" hidden="1" min="53" max="53" style="50" width="8.57421875"/>
    <col customWidth="1" min="54" max="54" style="50" width="4.7109375"/>
    <col customWidth="1" min="55" max="55" style="50" width="115.7109375"/>
    <col min="56" max="57" style="57" width="10.57421875"/>
    <col customWidth="1" min="58" max="58" style="57" width="11.140625"/>
    <col min="59" max="60" style="57" width="10.57421875"/>
  </cols>
  <sheetData>
    <row r="1" ht="14.25" hidden="1" customHeight="1">
      <c r="W1" s="50"/>
      <c r="Y1" s="50"/>
      <c r="Z1" s="50"/>
      <c r="AW1" s="50"/>
      <c r="AX1" s="50"/>
    </row>
    <row r="2" ht="21" hidden="1" customHeight="1">
      <c r="A2" s="478"/>
      <c r="B2" s="478"/>
      <c r="C2" s="478"/>
      <c r="D2" s="478"/>
      <c r="E2" s="479">
        <v>1</v>
      </c>
      <c r="F2" s="478"/>
      <c r="G2" s="478"/>
      <c r="H2" s="478"/>
      <c r="I2" s="478"/>
      <c r="J2" s="478"/>
      <c r="K2" s="478"/>
      <c r="L2" s="480"/>
      <c r="M2" s="481"/>
      <c r="N2" s="481"/>
      <c r="O2" s="481"/>
      <c r="P2" s="61"/>
      <c r="Q2" s="64"/>
      <c r="R2" s="482"/>
      <c r="S2" s="483" t="e">
        <f>INDEX(PT_DIFFERENTIATION_NUM_NTAR,MATCH(A2,PT_DIFFERENTIATION_NTAR_ID,0))</f>
        <v>#VALUE!</v>
      </c>
      <c r="T2" s="484" t="s">
        <v>125</v>
      </c>
      <c r="U2" s="485"/>
      <c r="V2" s="487"/>
      <c r="W2" s="487"/>
      <c r="X2" s="487"/>
      <c r="Y2" s="487"/>
      <c r="Z2" s="487"/>
      <c r="AA2" s="487"/>
      <c r="AB2" s="487"/>
      <c r="AC2" s="488"/>
      <c r="AD2" s="486" t="e">
        <f>INDEX(PT_DIFFERENTIATION_NTAR,MATCH(A2,PT_DIFFERENTIATION_NTAR_ID,0))</f>
        <v>#VALUE!</v>
      </c>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8"/>
      <c r="BC2"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8"/>
      <c r="BF2" s="128" t="str">
        <f t="shared" ref="BF2:BF8" si="28">IF(T2="","",T2)</f>
        <v xml:space="preserve">Наименование тарифа</v>
      </c>
      <c r="BG2" s="128"/>
      <c r="BH2" s="128"/>
    </row>
    <row r="3" ht="21" hidden="1" customHeight="1">
      <c r="A3" s="478"/>
      <c r="B3" s="478"/>
      <c r="C3" s="478"/>
      <c r="D3" s="478"/>
      <c r="E3" s="490"/>
      <c r="F3" s="479">
        <v>1</v>
      </c>
      <c r="G3" s="478"/>
      <c r="H3" s="478"/>
      <c r="I3" s="478"/>
      <c r="J3" s="478"/>
      <c r="K3" s="478"/>
      <c r="L3" s="480"/>
      <c r="M3" s="481"/>
      <c r="N3" s="481"/>
      <c r="O3" s="481"/>
      <c r="P3" s="113"/>
      <c r="Q3" s="610"/>
      <c r="R3" s="492"/>
      <c r="S3" s="483" t="e">
        <f>INDEX(PT_DIFFERENTIATION_NUM_TER,MATCH(B3,PT_DIFFERENTIATION_TER_ID,0))</f>
        <v>#VALUE!</v>
      </c>
      <c r="T3" s="493" t="s">
        <v>387</v>
      </c>
      <c r="U3" s="485"/>
      <c r="V3" s="487"/>
      <c r="W3" s="487"/>
      <c r="X3" s="487"/>
      <c r="Y3" s="487"/>
      <c r="Z3" s="487"/>
      <c r="AA3" s="487"/>
      <c r="AB3" s="487"/>
      <c r="AC3" s="488"/>
      <c r="AD3" s="486" t="e">
        <f>INDEX(PT_DIFFERENTIATION_TER,MATCH(B3,PT_DIFFERENTIATION_TER_ID,0))</f>
        <v>#VALUE!</v>
      </c>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8"/>
      <c r="BC3" s="489" t="s">
        <v>388</v>
      </c>
      <c r="BE3" s="128"/>
      <c r="BF3" s="128" t="str">
        <f t="shared" si="28"/>
        <v xml:space="preserve">Территория действия тарифа</v>
      </c>
      <c r="BG3" s="128"/>
      <c r="BH3" s="128"/>
    </row>
    <row r="4" ht="42" hidden="1" customHeight="1">
      <c r="A4" s="478"/>
      <c r="B4" s="478"/>
      <c r="C4" s="478"/>
      <c r="D4" s="478"/>
      <c r="E4" s="490"/>
      <c r="F4" s="490"/>
      <c r="G4" s="479">
        <v>1</v>
      </c>
      <c r="H4" s="478"/>
      <c r="I4" s="478"/>
      <c r="J4" s="478"/>
      <c r="K4" s="478"/>
      <c r="L4" s="480"/>
      <c r="M4" s="481"/>
      <c r="N4" s="481"/>
      <c r="O4" s="481"/>
      <c r="P4" s="134"/>
      <c r="Q4" s="610"/>
      <c r="R4" s="492"/>
      <c r="S4" s="483" t="e">
        <f>INDEX(PT_DIFFERENTIATION_NUM_CS,MATCH(C4,PT_DIFFERENTIATION_CS_ID,0))</f>
        <v>#VALUE!</v>
      </c>
      <c r="T4" s="495" t="s">
        <v>471</v>
      </c>
      <c r="U4" s="485"/>
      <c r="V4" s="487"/>
      <c r="W4" s="487"/>
      <c r="X4" s="487"/>
      <c r="Y4" s="487"/>
      <c r="Z4" s="487"/>
      <c r="AA4" s="487"/>
      <c r="AB4" s="487"/>
      <c r="AC4" s="488"/>
      <c r="AD4" s="486" t="e">
        <f>INDEX(PT_DIFFERENTIATION_CS,MATCH(C4,PT_DIFFERENTIATION_CS_ID,0))</f>
        <v>#VALUE!</v>
      </c>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8"/>
      <c r="BC4" s="489" t="s">
        <v>472</v>
      </c>
      <c r="BE4" s="128"/>
      <c r="BF4" s="128" t="str">
        <f t="shared" si="28"/>
        <v xml:space="preserve">Наименование централизованной системы холодного водоснабжения</v>
      </c>
      <c r="BG4" s="128"/>
      <c r="BH4" s="128"/>
    </row>
    <row r="5" s="57" customFormat="1" ht="14.25" hidden="1" customHeight="1">
      <c r="A5" s="132"/>
      <c r="B5" s="132"/>
      <c r="C5" s="132"/>
      <c r="D5" s="132"/>
      <c r="E5" s="490"/>
      <c r="F5" s="490"/>
      <c r="G5" s="490"/>
      <c r="H5" s="479">
        <v>1</v>
      </c>
      <c r="I5" s="132"/>
      <c r="J5" s="132"/>
      <c r="K5" s="132"/>
      <c r="L5" s="213"/>
      <c r="M5" s="463"/>
      <c r="N5" s="463"/>
      <c r="O5" s="463"/>
      <c r="P5" s="671"/>
      <c r="Q5" s="672"/>
      <c r="R5" s="502"/>
      <c r="S5" s="351"/>
      <c r="T5" s="673"/>
      <c r="U5" s="577"/>
      <c r="V5" s="579"/>
      <c r="W5" s="579"/>
      <c r="X5" s="579"/>
      <c r="Y5" s="579"/>
      <c r="Z5" s="579"/>
      <c r="AA5" s="579"/>
      <c r="AB5" s="579"/>
      <c r="AC5" s="580"/>
      <c r="AD5" s="578"/>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80"/>
      <c r="BC5" s="581" t="s">
        <v>392</v>
      </c>
      <c r="BE5" s="128"/>
      <c r="BF5" s="128" t="str">
        <f t="shared" si="28"/>
        <v/>
      </c>
      <c r="BG5" s="128"/>
      <c r="BH5" s="128"/>
    </row>
    <row r="6" s="57" customFormat="1" ht="14.25" hidden="1" customHeight="1">
      <c r="A6" s="132"/>
      <c r="B6" s="132"/>
      <c r="C6" s="132"/>
      <c r="D6" s="132"/>
      <c r="E6" s="490"/>
      <c r="F6" s="490"/>
      <c r="G6" s="490"/>
      <c r="H6" s="490"/>
      <c r="I6" s="167" t="str">
        <f>S5&amp;".1"</f>
        <v>.1</v>
      </c>
      <c r="J6" s="132"/>
      <c r="K6" s="132"/>
      <c r="L6" s="213" t="s">
        <v>393</v>
      </c>
      <c r="M6" s="586"/>
      <c r="N6" s="586"/>
      <c r="O6" s="586"/>
      <c r="P6" s="131">
        <v>1</v>
      </c>
      <c r="Q6" s="131"/>
      <c r="R6" s="497"/>
      <c r="S6" s="351"/>
      <c r="T6" s="576"/>
      <c r="U6" s="577"/>
      <c r="V6" s="579"/>
      <c r="W6" s="579"/>
      <c r="X6" s="579"/>
      <c r="Y6" s="579"/>
      <c r="Z6" s="579"/>
      <c r="AA6" s="579"/>
      <c r="AB6" s="579"/>
      <c r="AC6" s="580"/>
      <c r="AD6" s="578"/>
      <c r="AE6" s="579"/>
      <c r="AF6" s="579"/>
      <c r="AG6" s="579"/>
      <c r="AH6" s="579"/>
      <c r="AI6" s="579"/>
      <c r="AJ6" s="579"/>
      <c r="AK6" s="579"/>
      <c r="AL6" s="579"/>
      <c r="AM6" s="579"/>
      <c r="AN6" s="579"/>
      <c r="AO6" s="579"/>
      <c r="AP6" s="579"/>
      <c r="AQ6" s="579"/>
      <c r="AR6" s="579"/>
      <c r="AS6" s="579"/>
      <c r="AT6" s="579"/>
      <c r="AU6" s="579"/>
      <c r="AV6" s="579"/>
      <c r="AW6" s="579"/>
      <c r="AX6" s="579"/>
      <c r="AY6" s="579"/>
      <c r="AZ6" s="579"/>
      <c r="BA6" s="579"/>
      <c r="BB6" s="580"/>
      <c r="BC6" s="581"/>
      <c r="BE6" s="128"/>
      <c r="BF6" s="128" t="str">
        <f t="shared" si="28"/>
        <v/>
      </c>
      <c r="BG6" s="128"/>
      <c r="BH6" s="128"/>
    </row>
    <row r="7" s="57" customFormat="1" ht="14.25" hidden="1" customHeight="1">
      <c r="A7" s="132"/>
      <c r="B7" s="132"/>
      <c r="C7" s="132"/>
      <c r="D7" s="132"/>
      <c r="E7" s="490"/>
      <c r="F7" s="490"/>
      <c r="G7" s="490"/>
      <c r="H7" s="490"/>
      <c r="I7" s="501"/>
      <c r="J7" s="167" t="str">
        <f>S5&amp;".1"</f>
        <v>.1</v>
      </c>
      <c r="K7" s="132"/>
      <c r="L7" s="213"/>
      <c r="M7" s="586"/>
      <c r="N7" s="586"/>
      <c r="O7" s="586"/>
      <c r="P7" s="131"/>
      <c r="Q7" s="131">
        <v>1</v>
      </c>
      <c r="R7" s="502"/>
      <c r="S7" s="351"/>
      <c r="T7" s="611"/>
      <c r="U7" s="577"/>
      <c r="V7" s="579"/>
      <c r="W7" s="579"/>
      <c r="X7" s="579"/>
      <c r="Y7" s="579"/>
      <c r="Z7" s="579"/>
      <c r="AA7" s="579"/>
      <c r="AB7" s="579"/>
      <c r="AC7" s="580"/>
      <c r="AD7" s="578"/>
      <c r="AE7" s="579"/>
      <c r="AF7" s="579"/>
      <c r="AG7" s="579"/>
      <c r="AH7" s="579"/>
      <c r="AI7" s="579"/>
      <c r="AJ7" s="579"/>
      <c r="AK7" s="579"/>
      <c r="AL7" s="579"/>
      <c r="AM7" s="579"/>
      <c r="AN7" s="579"/>
      <c r="AO7" s="579"/>
      <c r="AP7" s="579"/>
      <c r="AQ7" s="579"/>
      <c r="AR7" s="579"/>
      <c r="AS7" s="579"/>
      <c r="AT7" s="579"/>
      <c r="AU7" s="579"/>
      <c r="AV7" s="579"/>
      <c r="AW7" s="579"/>
      <c r="AX7" s="579"/>
      <c r="AY7" s="579"/>
      <c r="AZ7" s="579"/>
      <c r="BA7" s="579"/>
      <c r="BB7" s="580"/>
      <c r="BC7" s="581"/>
      <c r="BE7" s="128"/>
      <c r="BF7" s="128" t="str">
        <f t="shared" si="28"/>
        <v/>
      </c>
      <c r="BG7" s="128"/>
      <c r="BH7" s="128"/>
    </row>
    <row r="8" ht="11.25" hidden="1" customHeight="1">
      <c r="A8" s="478"/>
      <c r="B8" s="478"/>
      <c r="C8" s="478"/>
      <c r="D8" s="478"/>
      <c r="E8" s="490"/>
      <c r="F8" s="490"/>
      <c r="G8" s="490"/>
      <c r="H8" s="490"/>
      <c r="I8" s="501"/>
      <c r="J8" s="501"/>
      <c r="K8" s="167" t="e">
        <f>S4&amp;".1"</f>
        <v>#VALUE!</v>
      </c>
      <c r="L8" s="480"/>
      <c r="P8" s="131"/>
      <c r="Q8" s="131"/>
      <c r="R8" s="612">
        <v>1</v>
      </c>
      <c r="S8" s="613" t="e">
        <f>$K8</f>
        <v>#VALUE!</v>
      </c>
      <c r="T8" s="674"/>
      <c r="U8" s="485"/>
      <c r="V8" s="505"/>
      <c r="W8" s="507"/>
      <c r="X8" s="505"/>
      <c r="Y8" s="507"/>
      <c r="Z8" s="508"/>
      <c r="AA8" s="225" t="s">
        <v>56</v>
      </c>
      <c r="AB8" s="508"/>
      <c r="AC8" s="225" t="s">
        <v>56</v>
      </c>
      <c r="AD8" s="313" t="s">
        <v>56</v>
      </c>
      <c r="AE8" s="615"/>
      <c r="AF8" s="345">
        <v>1</v>
      </c>
      <c r="AG8" s="675"/>
      <c r="AH8" s="225" t="s">
        <v>56</v>
      </c>
      <c r="AI8" s="615"/>
      <c r="AJ8" s="345">
        <v>1</v>
      </c>
      <c r="AK8" s="676" t="s">
        <v>18</v>
      </c>
      <c r="AL8" s="225" t="s">
        <v>56</v>
      </c>
      <c r="AM8" s="303"/>
      <c r="AN8" s="345">
        <v>1</v>
      </c>
      <c r="AO8" s="677"/>
      <c r="AP8" s="678" t="s">
        <v>56</v>
      </c>
      <c r="AQ8" s="616"/>
      <c r="AR8" s="345">
        <v>1</v>
      </c>
      <c r="AS8" s="93" t="s">
        <v>18</v>
      </c>
      <c r="AT8" s="505"/>
      <c r="AU8" s="507"/>
      <c r="AV8" s="505"/>
      <c r="AW8" s="507"/>
      <c r="AX8" s="508"/>
      <c r="AY8" s="225" t="s">
        <v>56</v>
      </c>
      <c r="AZ8" s="508"/>
      <c r="BA8" s="225" t="s">
        <v>56</v>
      </c>
      <c r="BB8" s="569"/>
      <c r="BC8" s="509" t="s">
        <v>489</v>
      </c>
      <c r="BE8" s="128"/>
      <c r="BF8" s="128" t="str">
        <f t="shared" si="28"/>
        <v/>
      </c>
      <c r="BG8" s="128"/>
      <c r="BH8" s="128"/>
    </row>
    <row r="9" ht="11.25" hidden="1" customHeight="1">
      <c r="A9" s="478"/>
      <c r="B9" s="478"/>
      <c r="C9" s="478"/>
      <c r="D9" s="478"/>
      <c r="E9" s="490"/>
      <c r="F9" s="490"/>
      <c r="G9" s="490"/>
      <c r="H9" s="490"/>
      <c r="I9" s="501"/>
      <c r="J9" s="501"/>
      <c r="K9" s="167"/>
      <c r="L9" s="480"/>
      <c r="P9" s="131"/>
      <c r="Q9" s="131"/>
      <c r="R9" s="612"/>
      <c r="S9" s="617"/>
      <c r="T9" s="679"/>
      <c r="U9" s="485"/>
      <c r="V9" s="598"/>
      <c r="W9" s="621"/>
      <c r="X9" s="598"/>
      <c r="Y9" s="621"/>
      <c r="Z9" s="598"/>
      <c r="AA9" s="598"/>
      <c r="AB9" s="598"/>
      <c r="AC9" s="598"/>
      <c r="AD9" s="319"/>
      <c r="AE9" s="615"/>
      <c r="AF9" s="345"/>
      <c r="AG9" s="675"/>
      <c r="AH9" s="225"/>
      <c r="AI9" s="615"/>
      <c r="AJ9" s="345"/>
      <c r="AK9" s="676"/>
      <c r="AL9" s="225"/>
      <c r="AM9" s="309"/>
      <c r="AN9" s="345"/>
      <c r="AO9" s="677"/>
      <c r="AP9" s="680"/>
      <c r="AQ9" s="620"/>
      <c r="AR9" s="179"/>
      <c r="AS9" s="179" t="s">
        <v>490</v>
      </c>
      <c r="AT9" s="598"/>
      <c r="AU9" s="621"/>
      <c r="AV9" s="598"/>
      <c r="AW9" s="621"/>
      <c r="AX9" s="598"/>
      <c r="AY9" s="598"/>
      <c r="AZ9" s="598"/>
      <c r="BA9" s="598"/>
      <c r="BB9" s="619"/>
      <c r="BC9" s="512"/>
      <c r="BE9" s="128"/>
      <c r="BF9" s="128"/>
      <c r="BG9" s="128"/>
      <c r="BH9" s="128"/>
    </row>
    <row r="10" ht="11.25" hidden="1" customHeight="1">
      <c r="A10" s="478"/>
      <c r="B10" s="478"/>
      <c r="C10" s="478"/>
      <c r="D10" s="478"/>
      <c r="E10" s="490"/>
      <c r="F10" s="490"/>
      <c r="G10" s="490"/>
      <c r="H10" s="490"/>
      <c r="I10" s="501"/>
      <c r="J10" s="501"/>
      <c r="K10" s="167"/>
      <c r="L10" s="480"/>
      <c r="P10" s="131"/>
      <c r="Q10" s="131"/>
      <c r="R10" s="612"/>
      <c r="S10" s="617"/>
      <c r="T10" s="679"/>
      <c r="U10" s="485"/>
      <c r="V10" s="598"/>
      <c r="W10" s="621"/>
      <c r="X10" s="598"/>
      <c r="Y10" s="621"/>
      <c r="Z10" s="598"/>
      <c r="AA10" s="598"/>
      <c r="AB10" s="598"/>
      <c r="AC10" s="598"/>
      <c r="AD10" s="319"/>
      <c r="AE10" s="615"/>
      <c r="AF10" s="345"/>
      <c r="AG10" s="675"/>
      <c r="AH10" s="225"/>
      <c r="AI10" s="615"/>
      <c r="AJ10" s="345"/>
      <c r="AK10" s="676"/>
      <c r="AL10" s="225"/>
      <c r="AM10" s="620"/>
      <c r="AN10" s="681"/>
      <c r="AO10" s="681" t="s">
        <v>491</v>
      </c>
      <c r="AP10" s="179"/>
      <c r="AQ10" s="179"/>
      <c r="AR10" s="179"/>
      <c r="AS10" s="598"/>
      <c r="AT10" s="598"/>
      <c r="AU10" s="621"/>
      <c r="AV10" s="598"/>
      <c r="AW10" s="621"/>
      <c r="AX10" s="598"/>
      <c r="AY10" s="598"/>
      <c r="AZ10" s="598"/>
      <c r="BA10" s="598"/>
      <c r="BB10" s="619"/>
      <c r="BC10" s="512"/>
      <c r="BE10" s="128"/>
      <c r="BF10" s="128"/>
      <c r="BG10" s="128"/>
      <c r="BH10" s="128"/>
    </row>
    <row r="11" ht="11.25" hidden="1" customHeight="1">
      <c r="A11" s="478"/>
      <c r="B11" s="478"/>
      <c r="C11" s="478"/>
      <c r="D11" s="478"/>
      <c r="E11" s="490"/>
      <c r="F11" s="490"/>
      <c r="G11" s="490"/>
      <c r="H11" s="490"/>
      <c r="I11" s="501"/>
      <c r="J11" s="501"/>
      <c r="K11" s="167"/>
      <c r="L11" s="480"/>
      <c r="P11" s="131"/>
      <c r="Q11" s="131"/>
      <c r="R11" s="612"/>
      <c r="S11" s="617"/>
      <c r="T11" s="679"/>
      <c r="U11" s="485"/>
      <c r="V11" s="598"/>
      <c r="W11" s="621"/>
      <c r="X11" s="598"/>
      <c r="Y11" s="621"/>
      <c r="Z11" s="598"/>
      <c r="AA11" s="598"/>
      <c r="AB11" s="598"/>
      <c r="AC11" s="598"/>
      <c r="AD11" s="319"/>
      <c r="AE11" s="615"/>
      <c r="AF11" s="345"/>
      <c r="AG11" s="675"/>
      <c r="AH11" s="225"/>
      <c r="AI11" s="623"/>
      <c r="AJ11" s="174"/>
      <c r="AK11" s="440" t="s">
        <v>492</v>
      </c>
      <c r="AL11" s="598"/>
      <c r="AM11" s="598"/>
      <c r="AN11" s="598"/>
      <c r="AO11" s="598"/>
      <c r="AP11" s="598"/>
      <c r="AQ11" s="598"/>
      <c r="AR11" s="598"/>
      <c r="AS11" s="598"/>
      <c r="AT11" s="598"/>
      <c r="AU11" s="621"/>
      <c r="AV11" s="598"/>
      <c r="AW11" s="621"/>
      <c r="AX11" s="598"/>
      <c r="AY11" s="598"/>
      <c r="AZ11" s="598"/>
      <c r="BA11" s="598"/>
      <c r="BB11" s="619"/>
      <c r="BC11" s="512"/>
      <c r="BE11" s="128"/>
      <c r="BF11" s="128"/>
      <c r="BG11" s="128"/>
      <c r="BH11" s="128"/>
    </row>
    <row r="12" ht="11.25" hidden="1" customHeight="1">
      <c r="A12" s="478"/>
      <c r="B12" s="478"/>
      <c r="C12" s="478"/>
      <c r="D12" s="478"/>
      <c r="E12" s="490"/>
      <c r="F12" s="490"/>
      <c r="G12" s="490"/>
      <c r="H12" s="490"/>
      <c r="I12" s="501"/>
      <c r="J12" s="501"/>
      <c r="K12" s="167"/>
      <c r="L12" s="480"/>
      <c r="P12" s="131"/>
      <c r="Q12" s="131"/>
      <c r="R12" s="612"/>
      <c r="S12" s="624"/>
      <c r="T12" s="682"/>
      <c r="U12" s="485"/>
      <c r="V12" s="598"/>
      <c r="W12" s="599" t="str">
        <f>Z8&amp;"-"&amp;AB8</f>
        <v>-</v>
      </c>
      <c r="X12" s="598"/>
      <c r="Y12" s="599" t="str">
        <f>AB8&amp;"-"&amp;AD8</f>
        <v>-да</v>
      </c>
      <c r="Z12" s="598"/>
      <c r="AA12" s="598"/>
      <c r="AB12" s="598"/>
      <c r="AC12" s="598"/>
      <c r="AD12" s="221"/>
      <c r="AE12" s="627"/>
      <c r="AF12" s="628"/>
      <c r="AG12" s="179" t="s">
        <v>493</v>
      </c>
      <c r="AH12" s="598"/>
      <c r="AI12" s="598"/>
      <c r="AJ12" s="598"/>
      <c r="AK12" s="598"/>
      <c r="AL12" s="598"/>
      <c r="AM12" s="598"/>
      <c r="AN12" s="598"/>
      <c r="AO12" s="598"/>
      <c r="AP12" s="598"/>
      <c r="AQ12" s="598"/>
      <c r="AR12" s="598"/>
      <c r="AS12" s="598"/>
      <c r="AT12" s="598"/>
      <c r="AU12" s="599" t="str">
        <f>AX8&amp;"-"&amp;AZ8</f>
        <v>-</v>
      </c>
      <c r="AV12" s="598"/>
      <c r="AW12" s="599" t="str">
        <f>AZ8&amp;"-"&amp;BB8</f>
        <v>-</v>
      </c>
      <c r="AX12" s="598"/>
      <c r="AY12" s="598"/>
      <c r="AZ12" s="598"/>
      <c r="BA12" s="598"/>
      <c r="BB12" s="626" t="str">
        <f>BE8&amp;"-"&amp;BG8</f>
        <v>-</v>
      </c>
      <c r="BC12" s="512"/>
      <c r="BE12" s="128"/>
      <c r="BF12" s="128" t="str">
        <f t="shared" ref="BF12:BF63" si="29">IF(T12="","",T12)</f>
        <v/>
      </c>
      <c r="BG12" s="128"/>
      <c r="BH12" s="128"/>
    </row>
    <row r="13" ht="11.25" hidden="1" customHeight="1">
      <c r="A13" s="478"/>
      <c r="B13" s="478"/>
      <c r="C13" s="478"/>
      <c r="D13" s="478"/>
      <c r="E13" s="490"/>
      <c r="F13" s="490"/>
      <c r="G13" s="490"/>
      <c r="H13" s="490"/>
      <c r="I13" s="501"/>
      <c r="J13" s="167"/>
      <c r="K13" s="478"/>
      <c r="L13" s="480"/>
      <c r="P13" s="131"/>
      <c r="Q13" s="131"/>
      <c r="R13" s="497"/>
      <c r="S13" s="513"/>
      <c r="T13" s="517" t="s">
        <v>457</v>
      </c>
      <c r="U13" s="215"/>
      <c r="V13" s="215"/>
      <c r="W13" s="215"/>
      <c r="X13" s="215"/>
      <c r="Y13" s="215"/>
      <c r="Z13" s="215"/>
      <c r="AA13" s="215"/>
      <c r="AB13" s="215"/>
      <c r="AC13" s="215"/>
      <c r="AD13" s="656"/>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515"/>
      <c r="BC13" s="516"/>
      <c r="BE13" s="128"/>
      <c r="BF13" s="128" t="str">
        <f t="shared" si="29"/>
        <v xml:space="preserve">Добавить строку</v>
      </c>
      <c r="BG13" s="128"/>
      <c r="BH13" s="128"/>
    </row>
    <row r="14" s="57" customFormat="1" ht="14.25" hidden="1" customHeight="1">
      <c r="A14" s="132"/>
      <c r="B14" s="132"/>
      <c r="C14" s="132"/>
      <c r="D14" s="132"/>
      <c r="E14" s="490"/>
      <c r="F14" s="490"/>
      <c r="G14" s="490"/>
      <c r="H14" s="490"/>
      <c r="I14" s="167"/>
      <c r="J14" s="132"/>
      <c r="K14" s="132"/>
      <c r="L14" s="213"/>
      <c r="M14" s="586"/>
      <c r="N14" s="586"/>
      <c r="O14" s="586"/>
      <c r="P14" s="131"/>
      <c r="Q14" s="131"/>
      <c r="R14" s="497"/>
      <c r="S14" s="582"/>
      <c r="T14" s="583"/>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4"/>
      <c r="AY14" s="584"/>
      <c r="AZ14" s="584"/>
      <c r="BA14" s="584"/>
      <c r="BB14" s="584"/>
      <c r="BC14" s="585"/>
      <c r="BE14" s="128"/>
      <c r="BF14" s="128" t="str">
        <f t="shared" si="29"/>
        <v/>
      </c>
      <c r="BG14" s="128"/>
      <c r="BH14" s="128"/>
    </row>
    <row r="15" s="57" customFormat="1" ht="14.25" hidden="1" customHeight="1">
      <c r="A15" s="132"/>
      <c r="B15" s="132"/>
      <c r="C15" s="132"/>
      <c r="D15" s="132"/>
      <c r="E15" s="490"/>
      <c r="F15" s="490"/>
      <c r="G15" s="490"/>
      <c r="H15" s="479"/>
      <c r="I15" s="132"/>
      <c r="J15" s="132"/>
      <c r="K15" s="132"/>
      <c r="L15" s="213"/>
      <c r="M15" s="463"/>
      <c r="N15" s="463"/>
      <c r="O15" s="57"/>
      <c r="P15" s="166"/>
      <c r="Q15" s="522"/>
      <c r="R15" s="629"/>
      <c r="S15" s="582"/>
      <c r="T15" s="583"/>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4"/>
      <c r="BC15" s="585"/>
      <c r="BE15" s="128"/>
      <c r="BF15" s="128" t="str">
        <f t="shared" si="29"/>
        <v/>
      </c>
      <c r="BG15" s="128"/>
      <c r="BH15" s="128"/>
    </row>
    <row r="16" s="57" customFormat="1" ht="14.25" hidden="1" customHeight="1">
      <c r="A16" s="132"/>
      <c r="B16" s="132"/>
      <c r="C16" s="132"/>
      <c r="D16" s="132"/>
      <c r="E16" s="490"/>
      <c r="F16" s="490"/>
      <c r="G16" s="479"/>
      <c r="H16" s="132"/>
      <c r="I16" s="132"/>
      <c r="J16" s="132"/>
      <c r="K16" s="132"/>
      <c r="L16" s="213"/>
      <c r="M16" s="463"/>
      <c r="N16" s="463"/>
      <c r="P16" s="166"/>
      <c r="Q16" s="522"/>
      <c r="R16" s="166"/>
      <c r="S16" s="527"/>
      <c r="T16" s="530"/>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29"/>
      <c r="AY16" s="529"/>
      <c r="AZ16" s="529"/>
      <c r="BA16" s="529"/>
      <c r="BB16" s="529"/>
      <c r="BC16" s="529"/>
      <c r="BE16" s="128"/>
      <c r="BF16" s="128" t="str">
        <f t="shared" si="29"/>
        <v/>
      </c>
      <c r="BG16" s="128"/>
      <c r="BH16" s="128"/>
    </row>
    <row r="17" s="57" customFormat="1" ht="14.25" hidden="1" customHeight="1">
      <c r="A17" s="132"/>
      <c r="B17" s="132"/>
      <c r="C17" s="132"/>
      <c r="D17" s="132"/>
      <c r="E17" s="490"/>
      <c r="F17" s="479"/>
      <c r="G17" s="132"/>
      <c r="H17" s="132"/>
      <c r="I17" s="132"/>
      <c r="J17" s="132"/>
      <c r="K17" s="132"/>
      <c r="L17" s="213"/>
      <c r="M17" s="526"/>
      <c r="N17" s="526"/>
      <c r="P17" s="166"/>
      <c r="Q17" s="522"/>
      <c r="R17" s="166"/>
      <c r="S17" s="527"/>
      <c r="T17" s="530" t="s">
        <v>405</v>
      </c>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529"/>
      <c r="AZ17" s="529"/>
      <c r="BA17" s="529"/>
      <c r="BB17" s="529"/>
      <c r="BC17" s="529"/>
      <c r="BE17" s="128"/>
      <c r="BF17" s="128" t="str">
        <f t="shared" si="29"/>
        <v xml:space="preserve">Добавить централизованную систему для дифференциации</v>
      </c>
      <c r="BG17" s="128"/>
      <c r="BH17" s="128"/>
    </row>
    <row r="18" s="57" customFormat="1" ht="14.25" hidden="1" customHeight="1">
      <c r="A18" s="132"/>
      <c r="B18" s="132"/>
      <c r="C18" s="132"/>
      <c r="D18" s="132"/>
      <c r="E18" s="479"/>
      <c r="F18" s="132"/>
      <c r="G18" s="132"/>
      <c r="H18" s="132"/>
      <c r="I18" s="132"/>
      <c r="J18" s="132"/>
      <c r="K18" s="132"/>
      <c r="L18" s="213"/>
      <c r="M18" s="526"/>
      <c r="N18" s="526"/>
      <c r="O18" s="57"/>
      <c r="P18" s="166"/>
      <c r="Q18" s="522"/>
      <c r="R18" s="166"/>
      <c r="S18" s="527"/>
      <c r="T18" s="530" t="s">
        <v>406</v>
      </c>
      <c r="U18" s="529"/>
      <c r="V18" s="529"/>
      <c r="W18" s="529"/>
      <c r="X18" s="529"/>
      <c r="Y18" s="529"/>
      <c r="Z18" s="529"/>
      <c r="AA18" s="529"/>
      <c r="AB18" s="529"/>
      <c r="AC18" s="529"/>
      <c r="AD18" s="529"/>
      <c r="AE18" s="529"/>
      <c r="AF18" s="529"/>
      <c r="AG18" s="529"/>
      <c r="AH18" s="529"/>
      <c r="AI18" s="529"/>
      <c r="AJ18" s="529"/>
      <c r="AK18" s="529"/>
      <c r="AL18" s="529"/>
      <c r="AM18" s="529"/>
      <c r="AN18" s="529"/>
      <c r="AO18" s="529"/>
      <c r="AP18" s="529"/>
      <c r="AQ18" s="529"/>
      <c r="AR18" s="529"/>
      <c r="AS18" s="529"/>
      <c r="AT18" s="529"/>
      <c r="AU18" s="529"/>
      <c r="AV18" s="529"/>
      <c r="AW18" s="529"/>
      <c r="AX18" s="529"/>
      <c r="AY18" s="529"/>
      <c r="AZ18" s="529"/>
      <c r="BA18" s="529"/>
      <c r="BB18" s="529"/>
      <c r="BC18" s="529"/>
      <c r="BE18" s="128"/>
      <c r="BF18" s="128" t="str">
        <f t="shared" si="29"/>
        <v xml:space="preserve">Добавить территорию для дифференциации</v>
      </c>
      <c r="BG18" s="128"/>
      <c r="BH18" s="128"/>
    </row>
    <row r="19" ht="14.25" hidden="1" customHeight="1">
      <c r="AC19" s="50"/>
      <c r="BA19" s="50"/>
    </row>
    <row r="20" ht="14.25" hidden="1" customHeight="1">
      <c r="AD20" s="529" t="s">
        <v>54</v>
      </c>
      <c r="AE20" s="630"/>
      <c r="AF20" s="529">
        <v>1</v>
      </c>
      <c r="AG20" s="631"/>
      <c r="AH20" s="529" t="s">
        <v>54</v>
      </c>
      <c r="AI20" s="630"/>
      <c r="AJ20" s="529">
        <v>1</v>
      </c>
      <c r="AK20" s="631"/>
      <c r="AL20" s="529" t="s">
        <v>54</v>
      </c>
      <c r="AM20" s="632"/>
      <c r="AN20" s="529">
        <v>1</v>
      </c>
      <c r="AO20" s="133"/>
      <c r="AP20" s="529" t="s">
        <v>54</v>
      </c>
      <c r="AQ20" s="632"/>
      <c r="AR20" s="529">
        <v>1</v>
      </c>
      <c r="AS20" s="133"/>
      <c r="AT20" s="506"/>
      <c r="AU20" s="573"/>
      <c r="AV20" s="506"/>
      <c r="AW20" s="573"/>
      <c r="AX20" s="636"/>
      <c r="AY20" s="637" t="s">
        <v>56</v>
      </c>
      <c r="AZ20" s="636"/>
      <c r="BA20" s="637" t="s">
        <v>56</v>
      </c>
    </row>
    <row r="21" ht="14.25" hidden="1" customHeight="1">
      <c r="BD21" s="130"/>
      <c r="BE21" s="130"/>
      <c r="BF21" s="130"/>
      <c r="BG21" s="130"/>
      <c r="BH21" s="130"/>
    </row>
    <row r="22" ht="14.25" hidden="1" customHeight="1">
      <c r="O22" s="535" t="s">
        <v>407</v>
      </c>
      <c r="Z22" s="606"/>
      <c r="AB22" s="606"/>
      <c r="AC22" s="50"/>
      <c r="AX22" s="606"/>
      <c r="AZ22" s="606"/>
      <c r="BA22" s="50"/>
      <c r="BD22" s="130"/>
      <c r="BE22" s="130"/>
      <c r="BF22" s="130"/>
      <c r="BG22" s="130"/>
      <c r="BH22" s="130"/>
    </row>
    <row r="23" ht="14.25" hidden="1" customHeight="1">
      <c r="AC23" s="50"/>
      <c r="BA23" s="50"/>
      <c r="BD23" s="130"/>
      <c r="BE23" s="130"/>
      <c r="BF23" s="130"/>
      <c r="BG23" s="130"/>
      <c r="BH23" s="130"/>
    </row>
    <row r="24" s="638" customFormat="1" ht="14.25" hidden="1" customHeight="1">
      <c r="M24" s="639"/>
      <c r="N24" s="639"/>
      <c r="O24" s="638" t="s">
        <v>408</v>
      </c>
      <c r="P24" s="639"/>
      <c r="Q24" s="640"/>
      <c r="R24" s="640"/>
      <c r="AA24" s="638" t="s">
        <v>410</v>
      </c>
      <c r="AC24" s="638" t="s">
        <v>411</v>
      </c>
      <c r="AD24" s="638" t="s">
        <v>458</v>
      </c>
      <c r="AH24" s="638" t="s">
        <v>458</v>
      </c>
      <c r="AK24" s="638" t="s">
        <v>494</v>
      </c>
      <c r="AL24" s="638" t="s">
        <v>458</v>
      </c>
      <c r="AP24" s="638" t="s">
        <v>458</v>
      </c>
      <c r="AY24" s="638" t="s">
        <v>410</v>
      </c>
      <c r="BA24" s="638" t="s">
        <v>411</v>
      </c>
      <c r="BD24" s="641"/>
      <c r="BE24" s="641"/>
      <c r="BF24" s="641"/>
      <c r="BG24" s="641"/>
      <c r="BH24" s="641"/>
    </row>
    <row r="25" ht="14.25" hidden="1" customHeight="1">
      <c r="O25" s="480"/>
      <c r="BD25" s="130"/>
      <c r="BE25" s="130"/>
      <c r="BF25" s="130"/>
      <c r="BG25" s="130"/>
      <c r="BH25" s="130"/>
    </row>
    <row r="26" ht="14.25" hidden="1" customHeight="1">
      <c r="O26" s="480"/>
      <c r="BD26" s="130"/>
      <c r="BE26" s="130"/>
      <c r="BF26" s="130"/>
      <c r="BG26" s="130"/>
      <c r="BH26" s="130"/>
    </row>
    <row r="27" ht="14.25" customHeight="1">
      <c r="Q27" s="642"/>
      <c r="R27" s="537"/>
      <c r="S27" s="538"/>
      <c r="T27" s="89"/>
      <c r="U27" s="8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row>
    <row r="28" ht="14.25" customHeight="1">
      <c r="Q28" s="642"/>
      <c r="R28" s="537"/>
      <c r="S28" s="451" t="str">
        <f>IF(TEMPLATE_GROUP="P",PT_P_FORM_COLDVSNA_5_NAME_FORM,PT_R_FORM_COLDVSNA_17_NAME_FORM)</f>
        <v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241"/>
    </row>
    <row r="29" ht="14.25" customHeight="1">
      <c r="Q29" s="642"/>
      <c r="R29" s="537"/>
      <c r="S29" s="302" t="str">
        <f>IF(org=0,"Не определено",org)</f>
        <v xml:space="preserve">филиал ПАО "ОГК-2" - Адлерская ТЭС</v>
      </c>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241"/>
    </row>
    <row r="30" ht="14.25" hidden="1" customHeight="1">
      <c r="Q30" s="642"/>
      <c r="R30" s="537"/>
      <c r="S30" s="538"/>
      <c r="T30" s="89"/>
      <c r="U30" s="8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0"/>
    </row>
    <row r="31" s="185" customFormat="1" ht="25.5" hidden="1" customHeight="1">
      <c r="A31" s="150"/>
      <c r="B31" s="150"/>
      <c r="C31" s="150"/>
      <c r="D31" s="150"/>
      <c r="E31" s="150"/>
      <c r="F31" s="150"/>
      <c r="G31" s="150"/>
      <c r="H31" s="150"/>
      <c r="I31" s="150"/>
      <c r="J31" s="150"/>
      <c r="K31" s="150"/>
      <c r="L31" s="480"/>
      <c r="M31" s="150"/>
      <c r="N31" s="150"/>
      <c r="O31" s="150"/>
      <c r="P31" s="150"/>
      <c r="Q31" s="150"/>
      <c r="S31" s="540" t="s">
        <v>38</v>
      </c>
      <c r="T31" s="540"/>
      <c r="U31" s="541"/>
      <c r="V31" s="542" t="str">
        <f>IF(TITLE_NAME_OR_PR_CHANGE="",IF(TITLE_NAME_OR_PR="","",TITLE_NAME_OR_PR),TITLE_NAME_OR_PR_CHANGE)</f>
        <v/>
      </c>
      <c r="W31" s="542"/>
      <c r="X31" s="542"/>
      <c r="Y31" s="542"/>
      <c r="Z31" s="542"/>
      <c r="AA31" s="542"/>
      <c r="AB31" s="542"/>
      <c r="AC31" s="50"/>
      <c r="AD31" s="542" t="str">
        <f>IF(TITLE_NAME_OR_PR_CHANGE="",IF(TITLE_NAME_OR_PR="","",TITLE_NAME_OR_PR),TITLE_NAME_OR_PR_CHANGE)</f>
        <v/>
      </c>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0"/>
      <c r="BB31" s="50"/>
      <c r="BC31" s="543"/>
      <c r="BD31" s="128"/>
      <c r="BE31" s="128"/>
      <c r="BF31" s="128"/>
      <c r="BG31" s="128"/>
      <c r="BH31" s="128"/>
    </row>
    <row r="32" s="185" customFormat="1" ht="18.75" hidden="1" customHeight="1">
      <c r="A32" s="150"/>
      <c r="B32" s="150"/>
      <c r="C32" s="150"/>
      <c r="D32" s="150"/>
      <c r="E32" s="150"/>
      <c r="F32" s="150"/>
      <c r="G32" s="150"/>
      <c r="H32" s="150"/>
      <c r="I32" s="150"/>
      <c r="J32" s="150"/>
      <c r="K32" s="150"/>
      <c r="L32" s="480"/>
      <c r="M32" s="150"/>
      <c r="N32" s="150"/>
      <c r="O32" s="150"/>
      <c r="P32" s="150"/>
      <c r="Q32" s="150"/>
      <c r="S32" s="540" t="s">
        <v>413</v>
      </c>
      <c r="T32" s="540"/>
      <c r="U32" s="541"/>
      <c r="V32" s="544" t="str">
        <f>IF(TITLE_DATE_PR_CHANGE="",IF(TITLE_DATE_PR="","",TITLE_DATE_PR),TITLE_DATE_PR_CHANGE)</f>
        <v/>
      </c>
      <c r="W32" s="544"/>
      <c r="X32" s="544"/>
      <c r="Y32" s="544"/>
      <c r="Z32" s="544"/>
      <c r="AA32" s="544"/>
      <c r="AB32" s="544"/>
      <c r="AC32" s="50"/>
      <c r="AD32" s="544" t="str">
        <f>IF(TITLE_DATE_PR_CHANGE="",IF(TITLE_DATE_PR="","",TITLE_DATE_PR),TITLE_DATE_PR_CHANGE)</f>
        <v/>
      </c>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0"/>
      <c r="BB32" s="50"/>
      <c r="BC32" s="543"/>
      <c r="BD32" s="128"/>
      <c r="BE32" s="128"/>
      <c r="BF32" s="128"/>
      <c r="BG32" s="128"/>
      <c r="BH32" s="128"/>
    </row>
    <row r="33" s="185" customFormat="1" ht="18.75" hidden="1" customHeight="1">
      <c r="A33" s="150"/>
      <c r="B33" s="150"/>
      <c r="C33" s="150"/>
      <c r="D33" s="150"/>
      <c r="E33" s="150"/>
      <c r="F33" s="150"/>
      <c r="G33" s="150"/>
      <c r="H33" s="150"/>
      <c r="I33" s="150"/>
      <c r="J33" s="150"/>
      <c r="K33" s="150"/>
      <c r="L33" s="480"/>
      <c r="M33" s="150"/>
      <c r="N33" s="150"/>
      <c r="O33" s="150"/>
      <c r="P33" s="150"/>
      <c r="Q33" s="150"/>
      <c r="S33" s="540" t="s">
        <v>414</v>
      </c>
      <c r="T33" s="540"/>
      <c r="U33" s="541"/>
      <c r="V33" s="542" t="str">
        <f>IF(TITLE_NUMBER_PR_CHANGE="",IF(TITLE_NUMBER_PR="","",TITLE_NUMBER_PR),TITLE_NUMBER_PR_CHANGE)</f>
        <v/>
      </c>
      <c r="W33" s="542"/>
      <c r="X33" s="542"/>
      <c r="Y33" s="542"/>
      <c r="Z33" s="542"/>
      <c r="AA33" s="542"/>
      <c r="AB33" s="542"/>
      <c r="AC33" s="50"/>
      <c r="AD33" s="542" t="str">
        <f>IF(TITLE_NUMBER_PR_CHANGE="",IF(TITLE_NUMBER_PR="","",TITLE_NUMBER_PR),TITLE_NUMBER_PR_CHANGE)</f>
        <v/>
      </c>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0"/>
      <c r="BB33" s="50"/>
      <c r="BC33" s="543"/>
      <c r="BD33" s="128"/>
      <c r="BE33" s="128"/>
      <c r="BF33" s="128"/>
      <c r="BG33" s="128"/>
      <c r="BH33" s="128"/>
    </row>
    <row r="34" s="185" customFormat="1" ht="18.75" hidden="1" customHeight="1">
      <c r="A34" s="150"/>
      <c r="B34" s="150"/>
      <c r="C34" s="150"/>
      <c r="D34" s="150"/>
      <c r="E34" s="150"/>
      <c r="F34" s="150"/>
      <c r="G34" s="150"/>
      <c r="H34" s="150"/>
      <c r="I34" s="150"/>
      <c r="J34" s="150"/>
      <c r="K34" s="150"/>
      <c r="L34" s="480"/>
      <c r="M34" s="150"/>
      <c r="N34" s="150"/>
      <c r="O34" s="150"/>
      <c r="P34" s="150"/>
      <c r="Q34" s="150"/>
      <c r="S34" s="540" t="s">
        <v>39</v>
      </c>
      <c r="T34" s="540"/>
      <c r="U34" s="541"/>
      <c r="V34" s="542" t="str">
        <f>IF(TITLE_IST_PUB_CHANGE="",IF(TITLE_IST_PUB="","",TITLE_IST_PUB),TITLE_IST_PUB_CHANGE)</f>
        <v/>
      </c>
      <c r="W34" s="542"/>
      <c r="X34" s="542"/>
      <c r="Y34" s="542"/>
      <c r="Z34" s="542"/>
      <c r="AA34" s="542"/>
      <c r="AB34" s="542"/>
      <c r="AC34" s="50"/>
      <c r="AD34" s="542" t="str">
        <f>IF(TITLE_IST_PUB_CHANGE="",IF(TITLE_IST_PUB="","",TITLE_IST_PUB),TITLE_IST_PUB_CHANGE)</f>
        <v/>
      </c>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0"/>
      <c r="BB34" s="50"/>
      <c r="BC34" s="543"/>
      <c r="BD34" s="128"/>
      <c r="BE34" s="128"/>
      <c r="BF34" s="128"/>
      <c r="BG34" s="128"/>
      <c r="BH34" s="128"/>
    </row>
    <row r="35" ht="14.25" hidden="1" customHeight="1">
      <c r="Q35" s="642"/>
      <c r="R35" s="537"/>
      <c r="S35" s="538"/>
      <c r="T35" s="89"/>
      <c r="U35" s="8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0"/>
    </row>
    <row r="36" s="185" customFormat="1" ht="18.75" hidden="1" customHeight="1">
      <c r="A36" s="150"/>
      <c r="B36" s="150"/>
      <c r="C36" s="150"/>
      <c r="D36" s="150"/>
      <c r="E36" s="150"/>
      <c r="F36" s="150"/>
      <c r="G36" s="150"/>
      <c r="H36" s="150"/>
      <c r="I36" s="150"/>
      <c r="J36" s="150"/>
      <c r="K36" s="150"/>
      <c r="L36" s="480"/>
      <c r="M36" s="150"/>
      <c r="N36" s="150"/>
      <c r="O36" s="150"/>
      <c r="P36" s="150"/>
      <c r="Q36" s="150"/>
      <c r="S36" s="540" t="s">
        <v>413</v>
      </c>
      <c r="T36" s="540"/>
      <c r="U36" s="541"/>
      <c r="V36" s="544" t="str">
        <f>IF(TITLE_DATE_PR_CHANGE="",IF(TITLE_DATE_PR="","",TITLE_DATE_PR),TITLE_DATE_PR_CHANGE)</f>
        <v/>
      </c>
      <c r="W36" s="544"/>
      <c r="X36" s="544"/>
      <c r="Y36" s="544"/>
      <c r="Z36" s="544"/>
      <c r="AA36" s="544"/>
      <c r="AB36" s="544"/>
      <c r="AC36" s="50"/>
      <c r="AD36" s="544" t="str">
        <f>IF(TITLE_DATE_PR_CHANGE="",IF(TITLE_DATE_PR="","",TITLE_DATE_PR),TITLE_DATE_PR_CHANGE)</f>
        <v/>
      </c>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0"/>
      <c r="BB36" s="50"/>
      <c r="BC36" s="543"/>
      <c r="BD36" s="128"/>
      <c r="BE36" s="128"/>
      <c r="BF36" s="128"/>
      <c r="BG36" s="128"/>
      <c r="BH36" s="128"/>
    </row>
    <row r="37" s="185" customFormat="1" ht="18.75" hidden="1" customHeight="1">
      <c r="A37" s="150"/>
      <c r="B37" s="150"/>
      <c r="C37" s="150"/>
      <c r="D37" s="150"/>
      <c r="E37" s="150"/>
      <c r="F37" s="150"/>
      <c r="G37" s="150"/>
      <c r="H37" s="150"/>
      <c r="I37" s="150"/>
      <c r="J37" s="150"/>
      <c r="K37" s="150"/>
      <c r="L37" s="480"/>
      <c r="M37" s="150"/>
      <c r="N37" s="150"/>
      <c r="O37" s="150"/>
      <c r="P37" s="150"/>
      <c r="Q37" s="150"/>
      <c r="S37" s="540" t="s">
        <v>414</v>
      </c>
      <c r="T37" s="540"/>
      <c r="U37" s="541"/>
      <c r="V37" s="542" t="str">
        <f>IF(TITLE_NUMBER_PR_CHANGE="",IF(TITLE_NUMBER_PR="","",TITLE_NUMBER_PR),TITLE_NUMBER_PR_CHANGE)</f>
        <v/>
      </c>
      <c r="W37" s="542"/>
      <c r="X37" s="542"/>
      <c r="Y37" s="542"/>
      <c r="Z37" s="542"/>
      <c r="AA37" s="542"/>
      <c r="AB37" s="542"/>
      <c r="AC37" s="50"/>
      <c r="AD37" s="542" t="str">
        <f>IF(TITLE_NUMBER_PR_CHANGE="",IF(TITLE_NUMBER_PR="","",TITLE_NUMBER_PR),TITLE_NUMBER_PR_CHANGE)</f>
        <v/>
      </c>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0"/>
      <c r="BB37" s="50"/>
      <c r="BC37" s="543"/>
      <c r="BD37" s="128"/>
      <c r="BE37" s="128"/>
      <c r="BF37" s="128"/>
      <c r="BG37" s="128"/>
      <c r="BH37" s="128"/>
    </row>
    <row r="38" s="185" customFormat="1" ht="0" customHeight="1">
      <c r="A38" s="150"/>
      <c r="B38" s="150"/>
      <c r="C38" s="150"/>
      <c r="D38" s="150"/>
      <c r="E38" s="150"/>
      <c r="F38" s="150"/>
      <c r="G38" s="150"/>
      <c r="H38" s="150"/>
      <c r="I38" s="150"/>
      <c r="J38" s="150"/>
      <c r="K38" s="150"/>
      <c r="L38" s="480"/>
      <c r="M38" s="150"/>
      <c r="N38" s="150"/>
      <c r="O38" s="150"/>
      <c r="P38" s="150"/>
      <c r="Q38" s="150"/>
      <c r="S38" s="50"/>
      <c r="T38" s="50"/>
      <c r="U38" s="139"/>
      <c r="V38" s="50"/>
      <c r="W38" s="50"/>
      <c r="X38" s="50"/>
      <c r="Y38" s="50"/>
      <c r="Z38" s="50"/>
      <c r="AA38" s="50"/>
      <c r="AB38" s="50"/>
      <c r="AC38" s="57" t="s">
        <v>417</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417</v>
      </c>
      <c r="BD38" s="128"/>
      <c r="BE38" s="128"/>
      <c r="BF38" s="128"/>
      <c r="BG38" s="128"/>
      <c r="BH38" s="128"/>
    </row>
    <row r="39" ht="14.25" customHeight="1">
      <c r="Q39" s="642"/>
      <c r="R39" s="537"/>
      <c r="S39" s="538"/>
      <c r="T39" s="89"/>
      <c r="U39" s="545"/>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row>
    <row r="40" ht="14.25" customHeight="1">
      <c r="Q40" s="642"/>
      <c r="R40" s="537"/>
      <c r="S40" s="156" t="s">
        <v>288</v>
      </c>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t="s">
        <v>289</v>
      </c>
    </row>
    <row r="41" ht="14.25" customHeight="1">
      <c r="Q41" s="642"/>
      <c r="R41" s="537"/>
      <c r="S41" s="483" t="s">
        <v>85</v>
      </c>
      <c r="T41" s="347" t="s">
        <v>495</v>
      </c>
      <c r="U41" s="547"/>
      <c r="V41" s="548" t="s">
        <v>419</v>
      </c>
      <c r="W41" s="549"/>
      <c r="X41" s="549"/>
      <c r="Y41" s="549"/>
      <c r="Z41" s="549"/>
      <c r="AA41" s="549"/>
      <c r="AB41" s="550"/>
      <c r="AC41" s="551" t="s">
        <v>420</v>
      </c>
      <c r="AD41" s="644" t="s">
        <v>496</v>
      </c>
      <c r="AE41" s="574"/>
      <c r="AF41" s="574"/>
      <c r="AG41" s="645"/>
      <c r="AH41" s="644" t="s">
        <v>497</v>
      </c>
      <c r="AI41" s="574"/>
      <c r="AJ41" s="574"/>
      <c r="AK41" s="645"/>
      <c r="AL41" s="644" t="s">
        <v>498</v>
      </c>
      <c r="AM41" s="574"/>
      <c r="AN41" s="574"/>
      <c r="AO41" s="645"/>
      <c r="AP41" s="644" t="s">
        <v>499</v>
      </c>
      <c r="AQ41" s="574"/>
      <c r="AR41" s="574"/>
      <c r="AS41" s="645"/>
      <c r="AT41" s="548" t="s">
        <v>419</v>
      </c>
      <c r="AU41" s="549"/>
      <c r="AV41" s="549"/>
      <c r="AW41" s="549"/>
      <c r="AX41" s="549"/>
      <c r="AY41" s="549"/>
      <c r="AZ41" s="550"/>
      <c r="BA41" s="551" t="s">
        <v>420</v>
      </c>
      <c r="BB41" s="552" t="s">
        <v>422</v>
      </c>
      <c r="BC41" s="156"/>
    </row>
    <row r="42" ht="33.75" customHeight="1">
      <c r="Q42" s="642"/>
      <c r="R42" s="537"/>
      <c r="S42" s="483"/>
      <c r="T42" s="347"/>
      <c r="U42" s="553"/>
      <c r="V42" s="303" t="s">
        <v>500</v>
      </c>
      <c r="W42" s="304"/>
      <c r="X42" s="303" t="s">
        <v>501</v>
      </c>
      <c r="Y42" s="304"/>
      <c r="Z42" s="303" t="s">
        <v>502</v>
      </c>
      <c r="AA42" s="607"/>
      <c r="AB42" s="304"/>
      <c r="AC42" s="555"/>
      <c r="AD42" s="647"/>
      <c r="AE42" s="648"/>
      <c r="AF42" s="648"/>
      <c r="AG42" s="649"/>
      <c r="AH42" s="647"/>
      <c r="AI42" s="648"/>
      <c r="AJ42" s="648"/>
      <c r="AK42" s="649"/>
      <c r="AL42" s="647"/>
      <c r="AM42" s="648"/>
      <c r="AN42" s="648"/>
      <c r="AO42" s="649"/>
      <c r="AP42" s="647"/>
      <c r="AQ42" s="648"/>
      <c r="AR42" s="648"/>
      <c r="AS42" s="649"/>
      <c r="AT42" s="303" t="s">
        <v>500</v>
      </c>
      <c r="AU42" s="304"/>
      <c r="AV42" s="303" t="s">
        <v>501</v>
      </c>
      <c r="AW42" s="304"/>
      <c r="AX42" s="303" t="s">
        <v>502</v>
      </c>
      <c r="AY42" s="607"/>
      <c r="AZ42" s="304"/>
      <c r="BA42" s="555"/>
      <c r="BB42" s="556"/>
      <c r="BC42" s="156"/>
    </row>
    <row r="43" ht="14.25" customHeight="1">
      <c r="Q43" s="642"/>
      <c r="R43" s="537"/>
      <c r="S43" s="483"/>
      <c r="T43" s="347"/>
      <c r="U43" s="553"/>
      <c r="V43" s="309"/>
      <c r="W43" s="310"/>
      <c r="X43" s="309"/>
      <c r="Y43" s="310"/>
      <c r="Z43" s="309"/>
      <c r="AA43" s="608"/>
      <c r="AB43" s="310"/>
      <c r="AC43" s="555"/>
      <c r="AD43" s="647"/>
      <c r="AE43" s="648"/>
      <c r="AF43" s="648"/>
      <c r="AG43" s="649"/>
      <c r="AH43" s="647"/>
      <c r="AI43" s="648"/>
      <c r="AJ43" s="648"/>
      <c r="AK43" s="649"/>
      <c r="AL43" s="647"/>
      <c r="AM43" s="648"/>
      <c r="AN43" s="648"/>
      <c r="AO43" s="649"/>
      <c r="AP43" s="647"/>
      <c r="AQ43" s="648"/>
      <c r="AR43" s="648"/>
      <c r="AS43" s="649"/>
      <c r="AT43" s="309"/>
      <c r="AU43" s="310"/>
      <c r="AV43" s="309"/>
      <c r="AW43" s="310"/>
      <c r="AX43" s="309"/>
      <c r="AY43" s="608"/>
      <c r="AZ43" s="310"/>
      <c r="BA43" s="555"/>
      <c r="BB43" s="556"/>
      <c r="BC43" s="156"/>
    </row>
    <row r="44" ht="14.25" customHeight="1">
      <c r="A44" s="150"/>
      <c r="B44" s="150" t="s">
        <v>137</v>
      </c>
      <c r="C44" s="150" t="s">
        <v>138</v>
      </c>
      <c r="D44" s="150" t="s">
        <v>139</v>
      </c>
      <c r="E44" s="480" t="s">
        <v>427</v>
      </c>
      <c r="F44" s="480" t="s">
        <v>428</v>
      </c>
      <c r="G44" s="480" t="s">
        <v>429</v>
      </c>
      <c r="H44" s="480" t="s">
        <v>430</v>
      </c>
      <c r="I44" s="480" t="s">
        <v>431</v>
      </c>
      <c r="J44" s="480" t="s">
        <v>432</v>
      </c>
      <c r="K44" s="480" t="s">
        <v>433</v>
      </c>
      <c r="L44" s="480" t="s">
        <v>408</v>
      </c>
      <c r="Q44" s="642"/>
      <c r="R44" s="537"/>
      <c r="S44" s="483"/>
      <c r="T44" s="347"/>
      <c r="U44" s="557"/>
      <c r="V44" s="347" t="s">
        <v>468</v>
      </c>
      <c r="W44" s="347" t="s">
        <v>469</v>
      </c>
      <c r="X44" s="347" t="s">
        <v>468</v>
      </c>
      <c r="Y44" s="347" t="s">
        <v>469</v>
      </c>
      <c r="Z44" s="247" t="s">
        <v>436</v>
      </c>
      <c r="AA44" s="414" t="s">
        <v>437</v>
      </c>
      <c r="AB44" s="416"/>
      <c r="AC44" s="559"/>
      <c r="AD44" s="652"/>
      <c r="AE44" s="653"/>
      <c r="AF44" s="653"/>
      <c r="AG44" s="654"/>
      <c r="AH44" s="652"/>
      <c r="AI44" s="653"/>
      <c r="AJ44" s="653"/>
      <c r="AK44" s="654"/>
      <c r="AL44" s="652"/>
      <c r="AM44" s="653"/>
      <c r="AN44" s="653"/>
      <c r="AO44" s="654"/>
      <c r="AP44" s="652"/>
      <c r="AQ44" s="653"/>
      <c r="AR44" s="653"/>
      <c r="AS44" s="654"/>
      <c r="AT44" s="347" t="s">
        <v>468</v>
      </c>
      <c r="AU44" s="347" t="s">
        <v>469</v>
      </c>
      <c r="AV44" s="347" t="s">
        <v>468</v>
      </c>
      <c r="AW44" s="347" t="s">
        <v>469</v>
      </c>
      <c r="AX44" s="247" t="s">
        <v>436</v>
      </c>
      <c r="AY44" s="414" t="s">
        <v>437</v>
      </c>
      <c r="AZ44" s="416"/>
      <c r="BA44" s="559"/>
      <c r="BB44" s="560"/>
      <c r="BC44" s="156"/>
    </row>
    <row r="45" s="130" customFormat="1" ht="11.25" hidden="1" customHeight="1">
      <c r="A45" s="150"/>
      <c r="B45" s="150"/>
      <c r="C45" s="150"/>
      <c r="D45" s="150"/>
      <c r="E45" s="150"/>
      <c r="F45" s="150"/>
      <c r="G45" s="150"/>
      <c r="H45" s="150"/>
      <c r="I45" s="150"/>
      <c r="J45" s="150"/>
      <c r="K45" s="150"/>
      <c r="L45" s="480"/>
      <c r="M45" s="61"/>
      <c r="N45" s="61"/>
      <c r="O45" s="61"/>
      <c r="P45" s="586"/>
      <c r="Q45" s="563"/>
      <c r="R45" s="563">
        <v>1</v>
      </c>
      <c r="S45" s="564" t="s">
        <v>111</v>
      </c>
      <c r="T45" s="565" t="s">
        <v>99</v>
      </c>
      <c r="U45" s="566" t="str">
        <f ca="1">OFFSET(U45,0,-1)</f>
        <v>2</v>
      </c>
      <c r="V45" s="567">
        <f ca="1">OFFSET(V45,0,-1)+1</f>
        <v>3</v>
      </c>
      <c r="W45" s="567">
        <f ca="1">OFFSET(W45,0,-1)+1</f>
        <v>4</v>
      </c>
      <c r="X45" s="567">
        <f ca="1">OFFSET(X45,0,-1)+1</f>
        <v>5</v>
      </c>
      <c r="Y45" s="567">
        <f ca="1">OFFSET(Y45,0,-1)+1</f>
        <v>6</v>
      </c>
      <c r="Z45" s="567">
        <f ca="1">OFFSET(Z45,0,-1)+1</f>
        <v>7</v>
      </c>
      <c r="AA45" s="567">
        <f ca="1">OFFSET(AA45,0,-1)+1</f>
        <v>8</v>
      </c>
      <c r="AB45" s="567"/>
      <c r="AC45" s="567">
        <f ca="1">OFFSET(AC45,0,-2)+1</f>
        <v>9</v>
      </c>
      <c r="AD45" s="567">
        <f ca="1">OFFSET(AD45,0,-1)+1</f>
        <v>10</v>
      </c>
      <c r="AE45" s="567"/>
      <c r="AF45" s="567"/>
      <c r="AG45" s="567"/>
      <c r="AH45" s="567"/>
      <c r="AI45" s="567"/>
      <c r="AJ45" s="567"/>
      <c r="AK45" s="567"/>
      <c r="AL45" s="567"/>
      <c r="AM45" s="567"/>
      <c r="AN45" s="567"/>
      <c r="AO45" s="567"/>
      <c r="AP45" s="567"/>
      <c r="AQ45" s="567"/>
      <c r="AR45" s="567"/>
      <c r="AS45" s="567"/>
      <c r="AT45" s="567"/>
      <c r="AU45" s="567"/>
      <c r="AV45" s="567"/>
      <c r="AW45" s="567">
        <f ca="1">OFFSET(AW45,0,-1)+1</f>
        <v>1</v>
      </c>
      <c r="AX45" s="567">
        <f ca="1">OFFSET(AX45,0,-1)+1</f>
        <v>2</v>
      </c>
      <c r="AY45" s="567">
        <f ca="1">OFFSET(AY45,0,-1)+1</f>
        <v>3</v>
      </c>
      <c r="AZ45" s="567"/>
      <c r="BA45" s="567">
        <f ca="1">OFFSET(BA45,0,-2)+1</f>
        <v>4</v>
      </c>
      <c r="BB45" s="566">
        <f ca="1">OFFSET(BB45,0,-1)</f>
        <v>4</v>
      </c>
      <c r="BC45" s="567">
        <f ca="1">OFFSET(BC45,0,-1)+1</f>
        <v>5</v>
      </c>
      <c r="BD45" s="57"/>
      <c r="BE45" s="57"/>
      <c r="BF45" s="57"/>
      <c r="BG45" s="57"/>
      <c r="BH45" s="57"/>
    </row>
    <row r="46" ht="21" customHeight="1">
      <c r="A46" s="478" t="s">
        <v>234</v>
      </c>
      <c r="B46" s="478"/>
      <c r="C46" s="478"/>
      <c r="D46" s="478"/>
      <c r="E46" s="479">
        <v>1</v>
      </c>
      <c r="F46" s="478"/>
      <c r="G46" s="478"/>
      <c r="H46" s="478"/>
      <c r="I46" s="478"/>
      <c r="J46" s="478"/>
      <c r="K46" s="478"/>
      <c r="L46" s="480"/>
      <c r="M46" s="481"/>
      <c r="N46" s="481"/>
      <c r="O46" s="481"/>
      <c r="P46" s="61"/>
      <c r="Q46" s="64"/>
      <c r="R46" s="482"/>
      <c r="S46" s="483">
        <f>INDEX(PT_DIFFERENTIATION_NUM_NTAR,MATCH(A46,PT_DIFFERENTIATION_NTAR_ID,0))</f>
        <v>0</v>
      </c>
      <c r="T46" s="484" t="s">
        <v>125</v>
      </c>
      <c r="U46" s="485"/>
      <c r="V46" s="487"/>
      <c r="W46" s="487"/>
      <c r="X46" s="487"/>
      <c r="Y46" s="487"/>
      <c r="Z46" s="487"/>
      <c r="AA46" s="487"/>
      <c r="AB46" s="487"/>
      <c r="AC46" s="488"/>
      <c r="AD46" s="486" t="str">
        <f>INDEX(PT_DIFFERENTIATION_NTAR,MATCH(A46,PT_DIFFERENTIATION_NTAR_ID,0))</f>
        <v/>
      </c>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8"/>
      <c r="BC46"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8"/>
      <c r="BF46" s="128" t="str">
        <f t="shared" si="29"/>
        <v xml:space="preserve">Наименование тарифа</v>
      </c>
      <c r="BG46" s="128"/>
      <c r="BH46" s="128"/>
    </row>
    <row r="47" ht="21" customHeight="1">
      <c r="A47" s="478" t="s">
        <v>234</v>
      </c>
      <c r="B47" s="478" t="s">
        <v>235</v>
      </c>
      <c r="C47" s="478"/>
      <c r="D47" s="478"/>
      <c r="E47" s="490"/>
      <c r="F47" s="479">
        <v>1</v>
      </c>
      <c r="G47" s="478"/>
      <c r="H47" s="478"/>
      <c r="I47" s="478"/>
      <c r="J47" s="478"/>
      <c r="K47" s="478"/>
      <c r="L47" s="480"/>
      <c r="M47" s="481"/>
      <c r="N47" s="481"/>
      <c r="O47" s="481"/>
      <c r="P47" s="113"/>
      <c r="Q47" s="610"/>
      <c r="R47" s="492"/>
      <c r="S47" s="483" t="str">
        <f>INDEX(PT_DIFFERENTIATION_NUM_TER,MATCH(B47,PT_DIFFERENTIATION_TER_ID,0))</f>
        <v>.</v>
      </c>
      <c r="T47" s="493" t="s">
        <v>387</v>
      </c>
      <c r="U47" s="485"/>
      <c r="V47" s="487"/>
      <c r="W47" s="487"/>
      <c r="X47" s="487"/>
      <c r="Y47" s="487"/>
      <c r="Z47" s="487"/>
      <c r="AA47" s="487"/>
      <c r="AB47" s="487"/>
      <c r="AC47" s="488"/>
      <c r="AD47" s="486" t="str">
        <f>INDEX(PT_DIFFERENTIATION_TER,MATCH(B47,PT_DIFFERENTIATION_TER_ID,0))</f>
        <v/>
      </c>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8"/>
      <c r="BC47" s="489" t="s">
        <v>388</v>
      </c>
      <c r="BE47" s="128"/>
      <c r="BF47" s="128" t="str">
        <f t="shared" si="29"/>
        <v xml:space="preserve">Территория действия тарифа</v>
      </c>
      <c r="BG47" s="128"/>
      <c r="BH47" s="128"/>
    </row>
    <row r="48" ht="42" customHeight="1">
      <c r="A48" s="478" t="s">
        <v>234</v>
      </c>
      <c r="B48" s="478" t="s">
        <v>235</v>
      </c>
      <c r="C48" s="478" t="s">
        <v>236</v>
      </c>
      <c r="D48" s="478"/>
      <c r="E48" s="490"/>
      <c r="F48" s="490"/>
      <c r="G48" s="479">
        <v>1</v>
      </c>
      <c r="H48" s="478"/>
      <c r="I48" s="478"/>
      <c r="J48" s="478"/>
      <c r="K48" s="478"/>
      <c r="L48" s="480"/>
      <c r="M48" s="481"/>
      <c r="N48" s="481"/>
      <c r="O48" s="481"/>
      <c r="P48" s="134"/>
      <c r="Q48" s="610"/>
      <c r="R48" s="492"/>
      <c r="S48" s="483" t="str">
        <f>INDEX(PT_DIFFERENTIATION_NUM_CS,MATCH(C48,PT_DIFFERENTIATION_CS_ID,0))</f>
        <v>..</v>
      </c>
      <c r="T48" s="495" t="s">
        <v>471</v>
      </c>
      <c r="U48" s="485"/>
      <c r="V48" s="487"/>
      <c r="W48" s="487"/>
      <c r="X48" s="487"/>
      <c r="Y48" s="487"/>
      <c r="Z48" s="487"/>
      <c r="AA48" s="487"/>
      <c r="AB48" s="487"/>
      <c r="AC48" s="488"/>
      <c r="AD48" s="486" t="str">
        <f>INDEX(PT_DIFFERENTIATION_CS,MATCH(C48,PT_DIFFERENTIATION_CS_ID,0))</f>
        <v/>
      </c>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8"/>
      <c r="BC48" s="489" t="s">
        <v>472</v>
      </c>
      <c r="BE48" s="128"/>
      <c r="BF48" s="128" t="str">
        <f t="shared" si="29"/>
        <v xml:space="preserve">Наименование централизованной системы холодного водоснабжения</v>
      </c>
      <c r="BG48" s="128"/>
      <c r="BH48" s="128"/>
    </row>
    <row r="49" s="57" customFormat="1" ht="0" customHeight="1">
      <c r="A49" s="132" t="s">
        <v>234</v>
      </c>
      <c r="B49" s="132" t="s">
        <v>235</v>
      </c>
      <c r="C49" s="132" t="s">
        <v>236</v>
      </c>
      <c r="D49" s="132" t="s">
        <v>503</v>
      </c>
      <c r="E49" s="490"/>
      <c r="F49" s="490"/>
      <c r="G49" s="490"/>
      <c r="H49" s="479">
        <v>1</v>
      </c>
      <c r="I49" s="132"/>
      <c r="J49" s="132"/>
      <c r="K49" s="132"/>
      <c r="L49" s="213"/>
      <c r="M49" s="463"/>
      <c r="N49" s="463"/>
      <c r="O49" s="463"/>
      <c r="P49" s="671"/>
      <c r="Q49" s="672"/>
      <c r="R49" s="502"/>
      <c r="S49" s="351"/>
      <c r="T49" s="673"/>
      <c r="U49" s="577"/>
      <c r="V49" s="579"/>
      <c r="W49" s="579"/>
      <c r="X49" s="579"/>
      <c r="Y49" s="579"/>
      <c r="Z49" s="579"/>
      <c r="AA49" s="579"/>
      <c r="AB49" s="579"/>
      <c r="AC49" s="580"/>
      <c r="AD49" s="578"/>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80"/>
      <c r="BC49" s="581" t="s">
        <v>392</v>
      </c>
      <c r="BE49" s="128"/>
      <c r="BF49" s="128" t="str">
        <f t="shared" si="29"/>
        <v/>
      </c>
      <c r="BG49" s="128"/>
      <c r="BH49" s="128"/>
    </row>
    <row r="50" s="57" customFormat="1" ht="0" customHeight="1">
      <c r="A50" s="132" t="s">
        <v>234</v>
      </c>
      <c r="B50" s="132" t="s">
        <v>235</v>
      </c>
      <c r="C50" s="132" t="s">
        <v>236</v>
      </c>
      <c r="D50" s="132" t="s">
        <v>503</v>
      </c>
      <c r="E50" s="490"/>
      <c r="F50" s="490"/>
      <c r="G50" s="490"/>
      <c r="H50" s="490"/>
      <c r="I50" s="167" t="str">
        <f>S49&amp;".1"</f>
        <v>.1</v>
      </c>
      <c r="J50" s="132"/>
      <c r="K50" s="132"/>
      <c r="L50" s="213" t="s">
        <v>393</v>
      </c>
      <c r="M50" s="586"/>
      <c r="N50" s="586"/>
      <c r="O50" s="586"/>
      <c r="P50" s="131">
        <v>1</v>
      </c>
      <c r="Q50" s="131"/>
      <c r="R50" s="497"/>
      <c r="S50" s="351"/>
      <c r="T50" s="576"/>
      <c r="U50" s="577"/>
      <c r="V50" s="579"/>
      <c r="W50" s="579"/>
      <c r="X50" s="579"/>
      <c r="Y50" s="579"/>
      <c r="Z50" s="579"/>
      <c r="AA50" s="579"/>
      <c r="AB50" s="579"/>
      <c r="AC50" s="580"/>
      <c r="AD50" s="578"/>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80"/>
      <c r="BC50" s="581"/>
      <c r="BE50" s="128"/>
      <c r="BF50" s="128" t="str">
        <f t="shared" si="29"/>
        <v/>
      </c>
      <c r="BG50" s="128"/>
      <c r="BH50" s="128"/>
    </row>
    <row r="51" s="57" customFormat="1" ht="0" customHeight="1">
      <c r="A51" s="132" t="s">
        <v>234</v>
      </c>
      <c r="B51" s="132" t="s">
        <v>235</v>
      </c>
      <c r="C51" s="132" t="s">
        <v>236</v>
      </c>
      <c r="D51" s="132" t="s">
        <v>503</v>
      </c>
      <c r="E51" s="490"/>
      <c r="F51" s="490"/>
      <c r="G51" s="490"/>
      <c r="H51" s="490"/>
      <c r="I51" s="501"/>
      <c r="J51" s="167" t="str">
        <f>S49&amp;".1"</f>
        <v>.1</v>
      </c>
      <c r="K51" s="132"/>
      <c r="L51" s="213"/>
      <c r="M51" s="586"/>
      <c r="N51" s="586"/>
      <c r="O51" s="586"/>
      <c r="P51" s="131"/>
      <c r="Q51" s="131">
        <v>1</v>
      </c>
      <c r="R51" s="502"/>
      <c r="S51" s="351"/>
      <c r="T51" s="611"/>
      <c r="U51" s="577"/>
      <c r="V51" s="579"/>
      <c r="W51" s="579"/>
      <c r="X51" s="579"/>
      <c r="Y51" s="579"/>
      <c r="Z51" s="579"/>
      <c r="AA51" s="579"/>
      <c r="AB51" s="579"/>
      <c r="AC51" s="580"/>
      <c r="AD51" s="578"/>
      <c r="AE51" s="579"/>
      <c r="AF51" s="579"/>
      <c r="AG51" s="579"/>
      <c r="AH51" s="579"/>
      <c r="AI51" s="579"/>
      <c r="AJ51" s="579"/>
      <c r="AK51" s="579"/>
      <c r="AL51" s="579"/>
      <c r="AM51" s="579"/>
      <c r="AN51" s="683"/>
      <c r="AO51" s="683"/>
      <c r="AP51" s="579"/>
      <c r="AQ51" s="579"/>
      <c r="AR51" s="579"/>
      <c r="AS51" s="579"/>
      <c r="AT51" s="579"/>
      <c r="AU51" s="579"/>
      <c r="AV51" s="579"/>
      <c r="AW51" s="579"/>
      <c r="AX51" s="579"/>
      <c r="AY51" s="579"/>
      <c r="AZ51" s="579"/>
      <c r="BA51" s="579"/>
      <c r="BB51" s="580"/>
      <c r="BC51" s="581"/>
      <c r="BE51" s="128"/>
      <c r="BF51" s="128" t="str">
        <f t="shared" si="29"/>
        <v/>
      </c>
      <c r="BG51" s="128"/>
      <c r="BH51" s="128"/>
    </row>
    <row r="52" ht="11.25" customHeight="1">
      <c r="A52" s="478" t="s">
        <v>234</v>
      </c>
      <c r="B52" s="478" t="s">
        <v>235</v>
      </c>
      <c r="C52" s="478" t="s">
        <v>236</v>
      </c>
      <c r="D52" s="478" t="s">
        <v>503</v>
      </c>
      <c r="E52" s="490"/>
      <c r="F52" s="490"/>
      <c r="G52" s="490"/>
      <c r="H52" s="490"/>
      <c r="I52" s="501"/>
      <c r="J52" s="501"/>
      <c r="K52" s="167" t="str">
        <f>S48&amp;".1"</f>
        <v>...1</v>
      </c>
      <c r="L52" s="480"/>
      <c r="P52" s="131"/>
      <c r="Q52" s="131"/>
      <c r="R52" s="502">
        <v>1</v>
      </c>
      <c r="S52" s="613" t="str">
        <f>$K52</f>
        <v>...1</v>
      </c>
      <c r="T52" s="674"/>
      <c r="U52" s="485"/>
      <c r="V52" s="505"/>
      <c r="W52" s="507"/>
      <c r="X52" s="505"/>
      <c r="Y52" s="507"/>
      <c r="Z52" s="508"/>
      <c r="AA52" s="225" t="s">
        <v>56</v>
      </c>
      <c r="AB52" s="508"/>
      <c r="AC52" s="225" t="s">
        <v>56</v>
      </c>
      <c r="AD52" s="313" t="s">
        <v>56</v>
      </c>
      <c r="AE52" s="615"/>
      <c r="AF52" s="345">
        <v>1</v>
      </c>
      <c r="AG52" s="675"/>
      <c r="AH52" s="225" t="s">
        <v>56</v>
      </c>
      <c r="AI52" s="615"/>
      <c r="AJ52" s="345">
        <v>1</v>
      </c>
      <c r="AK52" s="676" t="s">
        <v>18</v>
      </c>
      <c r="AL52" s="225" t="s">
        <v>56</v>
      </c>
      <c r="AM52" s="303"/>
      <c r="AN52" s="345">
        <v>1</v>
      </c>
      <c r="AO52" s="677"/>
      <c r="AP52" s="678" t="s">
        <v>56</v>
      </c>
      <c r="AQ52" s="616"/>
      <c r="AR52" s="345">
        <v>1</v>
      </c>
      <c r="AS52" s="93" t="s">
        <v>18</v>
      </c>
      <c r="AT52" s="505"/>
      <c r="AU52" s="507"/>
      <c r="AV52" s="505"/>
      <c r="AW52" s="507"/>
      <c r="AX52" s="508"/>
      <c r="AY52" s="225" t="s">
        <v>56</v>
      </c>
      <c r="AZ52" s="508"/>
      <c r="BA52" s="225" t="s">
        <v>56</v>
      </c>
      <c r="BB52" s="569"/>
      <c r="BC52" s="509" t="s">
        <v>489</v>
      </c>
      <c r="BE52" s="128"/>
      <c r="BF52" s="128" t="str">
        <f t="shared" si="29"/>
        <v/>
      </c>
      <c r="BG52" s="128"/>
      <c r="BH52" s="128"/>
    </row>
    <row r="53" ht="11.25" customHeight="1">
      <c r="A53" s="478"/>
      <c r="B53" s="478"/>
      <c r="C53" s="478"/>
      <c r="D53" s="478"/>
      <c r="E53" s="490"/>
      <c r="F53" s="490"/>
      <c r="G53" s="490"/>
      <c r="H53" s="490"/>
      <c r="I53" s="501"/>
      <c r="J53" s="501"/>
      <c r="K53" s="167"/>
      <c r="L53" s="480"/>
      <c r="P53" s="131"/>
      <c r="Q53" s="131"/>
      <c r="R53" s="502"/>
      <c r="S53" s="617"/>
      <c r="T53" s="679"/>
      <c r="U53" s="485"/>
      <c r="V53" s="598"/>
      <c r="W53" s="621"/>
      <c r="X53" s="598"/>
      <c r="Y53" s="621"/>
      <c r="Z53" s="598"/>
      <c r="AA53" s="598"/>
      <c r="AB53" s="598"/>
      <c r="AC53" s="598"/>
      <c r="AD53" s="319"/>
      <c r="AE53" s="615"/>
      <c r="AF53" s="345"/>
      <c r="AG53" s="675"/>
      <c r="AH53" s="225"/>
      <c r="AI53" s="615"/>
      <c r="AJ53" s="345"/>
      <c r="AK53" s="676"/>
      <c r="AL53" s="225"/>
      <c r="AM53" s="309"/>
      <c r="AN53" s="345"/>
      <c r="AO53" s="677"/>
      <c r="AP53" s="680"/>
      <c r="AQ53" s="620"/>
      <c r="AR53" s="179"/>
      <c r="AS53" s="179" t="s">
        <v>490</v>
      </c>
      <c r="AT53" s="598"/>
      <c r="AU53" s="621"/>
      <c r="AV53" s="598"/>
      <c r="AW53" s="621"/>
      <c r="AX53" s="598"/>
      <c r="AY53" s="598"/>
      <c r="AZ53" s="598"/>
      <c r="BA53" s="598"/>
      <c r="BB53" s="619"/>
      <c r="BC53" s="512"/>
      <c r="BE53" s="128"/>
      <c r="BF53" s="128"/>
      <c r="BG53" s="128"/>
      <c r="BH53" s="128"/>
    </row>
    <row r="54" ht="11.25" customHeight="1">
      <c r="A54" s="478" t="s">
        <v>234</v>
      </c>
      <c r="B54" s="478"/>
      <c r="C54" s="478"/>
      <c r="D54" s="478"/>
      <c r="E54" s="490"/>
      <c r="F54" s="490"/>
      <c r="G54" s="490"/>
      <c r="H54" s="490"/>
      <c r="I54" s="501"/>
      <c r="J54" s="501"/>
      <c r="K54" s="167"/>
      <c r="L54" s="480"/>
      <c r="P54" s="131"/>
      <c r="Q54" s="131"/>
      <c r="R54" s="502"/>
      <c r="S54" s="617"/>
      <c r="T54" s="679"/>
      <c r="U54" s="485"/>
      <c r="V54" s="598"/>
      <c r="W54" s="621"/>
      <c r="X54" s="598"/>
      <c r="Y54" s="621"/>
      <c r="Z54" s="598"/>
      <c r="AA54" s="598"/>
      <c r="AB54" s="598"/>
      <c r="AC54" s="598"/>
      <c r="AD54" s="319"/>
      <c r="AE54" s="615"/>
      <c r="AF54" s="345"/>
      <c r="AG54" s="675"/>
      <c r="AH54" s="225"/>
      <c r="AI54" s="615"/>
      <c r="AJ54" s="345"/>
      <c r="AK54" s="676"/>
      <c r="AL54" s="225"/>
      <c r="AM54" s="620"/>
      <c r="AN54" s="681"/>
      <c r="AO54" s="681" t="s">
        <v>491</v>
      </c>
      <c r="AP54" s="179"/>
      <c r="AQ54" s="179"/>
      <c r="AR54" s="179"/>
      <c r="AS54" s="598"/>
      <c r="AT54" s="598"/>
      <c r="AU54" s="621"/>
      <c r="AV54" s="598"/>
      <c r="AW54" s="621"/>
      <c r="AX54" s="598"/>
      <c r="AY54" s="598"/>
      <c r="AZ54" s="598"/>
      <c r="BA54" s="598"/>
      <c r="BB54" s="619"/>
      <c r="BC54" s="512"/>
      <c r="BE54" s="128"/>
      <c r="BF54" s="128"/>
      <c r="BG54" s="128"/>
      <c r="BH54" s="128"/>
    </row>
    <row r="55" ht="11.25" customHeight="1">
      <c r="A55" s="478" t="s">
        <v>234</v>
      </c>
      <c r="B55" s="478"/>
      <c r="C55" s="478"/>
      <c r="D55" s="478"/>
      <c r="E55" s="490"/>
      <c r="F55" s="490"/>
      <c r="G55" s="490"/>
      <c r="H55" s="490"/>
      <c r="I55" s="501"/>
      <c r="J55" s="501"/>
      <c r="K55" s="167"/>
      <c r="L55" s="480"/>
      <c r="P55" s="131"/>
      <c r="Q55" s="131"/>
      <c r="R55" s="502"/>
      <c r="S55" s="617"/>
      <c r="T55" s="679"/>
      <c r="U55" s="485"/>
      <c r="V55" s="598"/>
      <c r="W55" s="621"/>
      <c r="X55" s="598"/>
      <c r="Y55" s="621"/>
      <c r="Z55" s="598"/>
      <c r="AA55" s="598"/>
      <c r="AB55" s="598"/>
      <c r="AC55" s="598"/>
      <c r="AD55" s="319"/>
      <c r="AE55" s="615"/>
      <c r="AF55" s="345"/>
      <c r="AG55" s="675"/>
      <c r="AH55" s="225"/>
      <c r="AI55" s="623"/>
      <c r="AJ55" s="174"/>
      <c r="AK55" s="440" t="s">
        <v>492</v>
      </c>
      <c r="AL55" s="598"/>
      <c r="AM55" s="598"/>
      <c r="AN55" s="598"/>
      <c r="AO55" s="598"/>
      <c r="AP55" s="598"/>
      <c r="AQ55" s="598"/>
      <c r="AR55" s="598"/>
      <c r="AS55" s="598"/>
      <c r="AT55" s="598"/>
      <c r="AU55" s="621"/>
      <c r="AV55" s="598"/>
      <c r="AW55" s="621"/>
      <c r="AX55" s="598"/>
      <c r="AY55" s="598"/>
      <c r="AZ55" s="598"/>
      <c r="BA55" s="598"/>
      <c r="BB55" s="619"/>
      <c r="BC55" s="512"/>
      <c r="BE55" s="128"/>
      <c r="BF55" s="128"/>
      <c r="BG55" s="128"/>
      <c r="BH55" s="128"/>
    </row>
    <row r="56" ht="11.25" customHeight="1">
      <c r="A56" s="478" t="s">
        <v>234</v>
      </c>
      <c r="B56" s="478" t="s">
        <v>235</v>
      </c>
      <c r="C56" s="478" t="s">
        <v>236</v>
      </c>
      <c r="D56" s="478" t="s">
        <v>503</v>
      </c>
      <c r="E56" s="490"/>
      <c r="F56" s="490"/>
      <c r="G56" s="490"/>
      <c r="H56" s="490"/>
      <c r="I56" s="501"/>
      <c r="J56" s="501"/>
      <c r="K56" s="167"/>
      <c r="L56" s="480"/>
      <c r="P56" s="131"/>
      <c r="Q56" s="131"/>
      <c r="R56" s="502"/>
      <c r="S56" s="624"/>
      <c r="T56" s="682"/>
      <c r="U56" s="485"/>
      <c r="V56" s="598"/>
      <c r="W56" s="599" t="str">
        <f>Z52&amp;"-"&amp;AB52</f>
        <v>-</v>
      </c>
      <c r="X56" s="598"/>
      <c r="Y56" s="599" t="str">
        <f>AB52&amp;"-"&amp;AD52</f>
        <v>-да</v>
      </c>
      <c r="Z56" s="598"/>
      <c r="AA56" s="598"/>
      <c r="AB56" s="598"/>
      <c r="AC56" s="598"/>
      <c r="AD56" s="221"/>
      <c r="AE56" s="627"/>
      <c r="AF56" s="628"/>
      <c r="AG56" s="179" t="s">
        <v>493</v>
      </c>
      <c r="AH56" s="598"/>
      <c r="AI56" s="598"/>
      <c r="AJ56" s="598"/>
      <c r="AK56" s="598"/>
      <c r="AL56" s="598"/>
      <c r="AM56" s="598"/>
      <c r="AN56" s="598"/>
      <c r="AO56" s="598"/>
      <c r="AP56" s="598"/>
      <c r="AQ56" s="598"/>
      <c r="AR56" s="598"/>
      <c r="AS56" s="598"/>
      <c r="AT56" s="598"/>
      <c r="AU56" s="599" t="str">
        <f>AX52&amp;"-"&amp;AZ52</f>
        <v>-</v>
      </c>
      <c r="AV56" s="598"/>
      <c r="AW56" s="599" t="str">
        <f>AZ52&amp;"-"&amp;BB52</f>
        <v>-</v>
      </c>
      <c r="AX56" s="598"/>
      <c r="AY56" s="598"/>
      <c r="AZ56" s="598"/>
      <c r="BA56" s="598"/>
      <c r="BB56" s="626" t="str">
        <f>BE52&amp;"-"&amp;BG52</f>
        <v>-</v>
      </c>
      <c r="BC56" s="512"/>
      <c r="BE56" s="128"/>
      <c r="BF56" s="128" t="str">
        <f t="shared" si="29"/>
        <v/>
      </c>
      <c r="BG56" s="128"/>
      <c r="BH56" s="128"/>
    </row>
    <row r="57" ht="11.25" customHeight="1">
      <c r="A57" s="478" t="s">
        <v>234</v>
      </c>
      <c r="B57" s="478" t="s">
        <v>235</v>
      </c>
      <c r="C57" s="478" t="s">
        <v>236</v>
      </c>
      <c r="D57" s="478" t="s">
        <v>503</v>
      </c>
      <c r="E57" s="490"/>
      <c r="F57" s="490"/>
      <c r="G57" s="490"/>
      <c r="H57" s="490"/>
      <c r="I57" s="501"/>
      <c r="J57" s="167"/>
      <c r="K57" s="478"/>
      <c r="L57" s="480"/>
      <c r="P57" s="131"/>
      <c r="Q57" s="131"/>
      <c r="R57" s="497"/>
      <c r="S57" s="513"/>
      <c r="T57" s="517" t="s">
        <v>457</v>
      </c>
      <c r="U57" s="215"/>
      <c r="V57" s="215"/>
      <c r="W57" s="215"/>
      <c r="X57" s="215"/>
      <c r="Y57" s="215"/>
      <c r="Z57" s="215"/>
      <c r="AA57" s="215"/>
      <c r="AB57" s="215"/>
      <c r="AC57" s="515"/>
      <c r="AD57" s="656"/>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515"/>
      <c r="BC57" s="516"/>
      <c r="BE57" s="128"/>
      <c r="BF57" s="128" t="str">
        <f t="shared" si="29"/>
        <v xml:space="preserve">Добавить строку</v>
      </c>
      <c r="BG57" s="128"/>
      <c r="BH57" s="128"/>
    </row>
    <row r="58" s="57" customFormat="1" ht="0" customHeight="1">
      <c r="A58" s="132" t="s">
        <v>234</v>
      </c>
      <c r="B58" s="132" t="s">
        <v>235</v>
      </c>
      <c r="C58" s="132" t="s">
        <v>236</v>
      </c>
      <c r="D58" s="132" t="s">
        <v>503</v>
      </c>
      <c r="E58" s="490"/>
      <c r="F58" s="490"/>
      <c r="G58" s="490"/>
      <c r="H58" s="490"/>
      <c r="I58" s="167"/>
      <c r="J58" s="132"/>
      <c r="K58" s="132"/>
      <c r="L58" s="213"/>
      <c r="M58" s="586"/>
      <c r="N58" s="586"/>
      <c r="O58" s="586"/>
      <c r="P58" s="131"/>
      <c r="Q58" s="131"/>
      <c r="R58" s="497"/>
      <c r="S58" s="582"/>
      <c r="T58" s="583"/>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5"/>
      <c r="BE58" s="128"/>
      <c r="BF58" s="128" t="str">
        <f t="shared" si="29"/>
        <v/>
      </c>
      <c r="BG58" s="128"/>
      <c r="BH58" s="128"/>
    </row>
    <row r="59" s="57" customFormat="1" ht="0" customHeight="1">
      <c r="A59" s="132" t="s">
        <v>234</v>
      </c>
      <c r="B59" s="132" t="s">
        <v>235</v>
      </c>
      <c r="C59" s="132" t="s">
        <v>236</v>
      </c>
      <c r="D59" s="132" t="s">
        <v>503</v>
      </c>
      <c r="E59" s="490"/>
      <c r="F59" s="490"/>
      <c r="G59" s="490"/>
      <c r="H59" s="479"/>
      <c r="I59" s="132"/>
      <c r="J59" s="132"/>
      <c r="K59" s="132"/>
      <c r="L59" s="213"/>
      <c r="M59" s="463"/>
      <c r="N59" s="463"/>
      <c r="O59" s="57"/>
      <c r="P59" s="166"/>
      <c r="Q59" s="522"/>
      <c r="R59" s="629"/>
      <c r="S59" s="582"/>
      <c r="T59" s="583"/>
      <c r="U59" s="584"/>
      <c r="V59" s="584"/>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584"/>
      <c r="BA59" s="584"/>
      <c r="BB59" s="584"/>
      <c r="BC59" s="585"/>
      <c r="BE59" s="128"/>
      <c r="BF59" s="128" t="str">
        <f t="shared" si="29"/>
        <v/>
      </c>
      <c r="BG59" s="128"/>
      <c r="BH59" s="128"/>
    </row>
    <row r="60" s="57" customFormat="1" ht="0" customHeight="1">
      <c r="A60" s="132" t="s">
        <v>234</v>
      </c>
      <c r="B60" s="132" t="s">
        <v>235</v>
      </c>
      <c r="C60" s="132" t="s">
        <v>236</v>
      </c>
      <c r="D60" s="132"/>
      <c r="E60" s="490"/>
      <c r="F60" s="490"/>
      <c r="G60" s="479"/>
      <c r="H60" s="132"/>
      <c r="I60" s="132"/>
      <c r="J60" s="132"/>
      <c r="K60" s="132"/>
      <c r="L60" s="213"/>
      <c r="M60" s="463"/>
      <c r="N60" s="463"/>
      <c r="P60" s="166"/>
      <c r="Q60" s="522"/>
      <c r="R60" s="166"/>
      <c r="S60" s="527"/>
      <c r="T60" s="530"/>
      <c r="U60" s="529"/>
      <c r="V60" s="529"/>
      <c r="W60" s="529"/>
      <c r="X60" s="529"/>
      <c r="Y60" s="529"/>
      <c r="Z60" s="529"/>
      <c r="AA60" s="529"/>
      <c r="AB60" s="529"/>
      <c r="AC60" s="529"/>
      <c r="AD60" s="529"/>
      <c r="AE60" s="529"/>
      <c r="AF60" s="529"/>
      <c r="AG60" s="529"/>
      <c r="AH60" s="529"/>
      <c r="AI60" s="529"/>
      <c r="AJ60" s="529"/>
      <c r="AK60" s="529"/>
      <c r="AL60" s="529"/>
      <c r="AM60" s="529"/>
      <c r="AN60" s="529"/>
      <c r="AO60" s="529"/>
      <c r="AP60" s="529"/>
      <c r="AQ60" s="529"/>
      <c r="AR60" s="529"/>
      <c r="AS60" s="529"/>
      <c r="AT60" s="529"/>
      <c r="AU60" s="529"/>
      <c r="AV60" s="529"/>
      <c r="AW60" s="529"/>
      <c r="AX60" s="529"/>
      <c r="AY60" s="529"/>
      <c r="AZ60" s="529"/>
      <c r="BA60" s="529"/>
      <c r="BB60" s="529"/>
      <c r="BC60" s="529"/>
      <c r="BE60" s="128"/>
      <c r="BF60" s="128" t="str">
        <f t="shared" si="29"/>
        <v/>
      </c>
      <c r="BG60" s="128"/>
      <c r="BH60" s="128"/>
    </row>
    <row r="61" s="57" customFormat="1" ht="0" customHeight="1">
      <c r="A61" s="132" t="s">
        <v>234</v>
      </c>
      <c r="B61" s="132" t="s">
        <v>235</v>
      </c>
      <c r="C61" s="132"/>
      <c r="D61" s="132"/>
      <c r="E61" s="490"/>
      <c r="F61" s="479"/>
      <c r="G61" s="132"/>
      <c r="H61" s="132"/>
      <c r="I61" s="132"/>
      <c r="J61" s="132"/>
      <c r="K61" s="132"/>
      <c r="L61" s="213"/>
      <c r="M61" s="526"/>
      <c r="N61" s="526"/>
      <c r="P61" s="166"/>
      <c r="Q61" s="522"/>
      <c r="R61" s="166"/>
      <c r="S61" s="527"/>
      <c r="T61" s="530" t="s">
        <v>405</v>
      </c>
      <c r="U61" s="529"/>
      <c r="V61" s="529"/>
      <c r="W61" s="529"/>
      <c r="X61" s="529"/>
      <c r="Y61" s="529"/>
      <c r="Z61" s="529"/>
      <c r="AA61" s="529"/>
      <c r="AB61" s="529"/>
      <c r="AC61" s="529"/>
      <c r="AD61" s="529"/>
      <c r="AE61" s="529"/>
      <c r="AF61" s="529"/>
      <c r="AG61" s="529"/>
      <c r="AH61" s="529"/>
      <c r="AI61" s="529"/>
      <c r="AJ61" s="529"/>
      <c r="AK61" s="529"/>
      <c r="AL61" s="529"/>
      <c r="AM61" s="529"/>
      <c r="AN61" s="529"/>
      <c r="AO61" s="529"/>
      <c r="AP61" s="529"/>
      <c r="AQ61" s="529"/>
      <c r="AR61" s="529"/>
      <c r="AS61" s="529"/>
      <c r="AT61" s="529"/>
      <c r="AU61" s="529"/>
      <c r="AV61" s="529"/>
      <c r="AW61" s="529"/>
      <c r="AX61" s="529"/>
      <c r="AY61" s="529"/>
      <c r="AZ61" s="529"/>
      <c r="BA61" s="529"/>
      <c r="BB61" s="529"/>
      <c r="BC61" s="529"/>
      <c r="BE61" s="128"/>
      <c r="BF61" s="128" t="str">
        <f t="shared" si="29"/>
        <v xml:space="preserve">Добавить централизованную систему для дифференциации</v>
      </c>
      <c r="BG61" s="128"/>
      <c r="BH61" s="128"/>
    </row>
    <row r="62" s="57" customFormat="1" ht="0" customHeight="1">
      <c r="A62" s="132" t="s">
        <v>234</v>
      </c>
      <c r="B62" s="132"/>
      <c r="C62" s="132"/>
      <c r="D62" s="132"/>
      <c r="E62" s="479"/>
      <c r="F62" s="132"/>
      <c r="G62" s="132"/>
      <c r="H62" s="132"/>
      <c r="I62" s="132"/>
      <c r="J62" s="132"/>
      <c r="K62" s="132"/>
      <c r="L62" s="213"/>
      <c r="M62" s="526"/>
      <c r="N62" s="526"/>
      <c r="O62" s="57"/>
      <c r="P62" s="166"/>
      <c r="Q62" s="522"/>
      <c r="R62" s="166"/>
      <c r="S62" s="527"/>
      <c r="T62" s="530" t="s">
        <v>406</v>
      </c>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E62" s="128"/>
      <c r="BF62" s="128" t="str">
        <f t="shared" si="29"/>
        <v xml:space="preserve">Добавить территорию для дифференциации</v>
      </c>
      <c r="BG62" s="128"/>
      <c r="BH62" s="128"/>
    </row>
    <row r="63" s="57" customFormat="1" ht="0" customHeight="1">
      <c r="A63" s="132"/>
      <c r="B63" s="132"/>
      <c r="C63" s="132"/>
      <c r="D63" s="132"/>
      <c r="E63" s="132"/>
      <c r="F63" s="132"/>
      <c r="G63" s="132"/>
      <c r="H63" s="132"/>
      <c r="I63" s="132"/>
      <c r="J63" s="132"/>
      <c r="K63" s="132"/>
      <c r="L63" s="213"/>
      <c r="M63" s="526"/>
      <c r="N63" s="526"/>
      <c r="P63" s="166"/>
      <c r="Q63" s="522"/>
      <c r="R63" s="166"/>
      <c r="S63" s="527"/>
      <c r="T63" s="530" t="s">
        <v>438</v>
      </c>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29"/>
      <c r="AY63" s="529"/>
      <c r="AZ63" s="529"/>
      <c r="BA63" s="529"/>
      <c r="BB63" s="529"/>
      <c r="BC63" s="529"/>
      <c r="BE63" s="128"/>
      <c r="BF63" s="128" t="str">
        <f t="shared" si="29"/>
        <v xml:space="preserve">Добавить наименование тарифа</v>
      </c>
      <c r="BG63" s="128"/>
      <c r="BH63" s="128"/>
    </row>
    <row r="64" ht="11.25" customHeight="1">
      <c r="M64" s="53"/>
      <c r="N64" s="53"/>
      <c r="O64" s="53"/>
      <c r="P64" s="53"/>
      <c r="Q64" s="53"/>
      <c r="R64" s="50"/>
      <c r="S64" s="50"/>
      <c r="BD64" s="50"/>
      <c r="BE64" s="50"/>
      <c r="BF64" s="50"/>
      <c r="BG64" s="50"/>
      <c r="BH64" s="50"/>
    </row>
    <row r="65" ht="18.75" customHeight="1">
      <c r="O65" s="53"/>
      <c r="S65" s="475"/>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B65" s="572"/>
      <c r="BC65" s="572"/>
    </row>
    <row r="66" ht="14.25" customHeight="1">
      <c r="O66" s="53"/>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row>
    <row r="67" ht="18.75" customHeight="1">
      <c r="O67" s="53"/>
      <c r="S67" s="475"/>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2"/>
      <c r="AX67" s="572"/>
      <c r="AY67" s="572"/>
      <c r="AZ67" s="572"/>
      <c r="BA67" s="572"/>
      <c r="BB67" s="572"/>
      <c r="BC67" s="572"/>
    </row>
    <row r="68" ht="14.25" customHeight="1">
      <c r="O68" s="53"/>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9A00CB-0080-4860-928D-00A6000400A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CF00B5-0025-4374-8799-00560047000C}"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45003A-00CD-4F03-A9FB-00D900BA0014}"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5B0011-0010-445B-B373-001C00E3001C}"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9100E4-008C-491C-899D-00C0000E0089}"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7109375"/>
    <col customWidth="1" min="17" max="18" style="477" width="3.7109375"/>
    <col customWidth="1" min="19" max="19" style="322" width="12.7109375"/>
    <col customWidth="1" min="20" max="20" style="50" width="35.710937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31" style="50" width="24.7109375"/>
    <col customWidth="1" min="32" max="32" style="50" width="11.7109375"/>
    <col customWidth="1" min="33" max="33" style="50" width="3.7109375"/>
    <col customWidth="1" min="34" max="34" style="50" width="11.7109375"/>
    <col customWidth="1" hidden="1" min="35" max="35" style="50" width="8.57421875"/>
    <col customWidth="1" min="36" max="36" style="50" width="4.7109375"/>
    <col customWidth="1" min="37" max="37" style="50" width="115.7109375"/>
    <col min="38" max="39" style="57" width="10.57421875"/>
    <col customWidth="1" min="40" max="40" style="57" width="11.140625"/>
    <col min="41" max="42" style="57" width="10.57421875"/>
  </cols>
  <sheetData>
    <row r="1" ht="14.25" hidden="1" customHeight="1">
      <c r="X1" s="50"/>
      <c r="Y1" s="50"/>
      <c r="AE1" s="50"/>
      <c r="AF1" s="50"/>
    </row>
    <row r="2" ht="23.25"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8"/>
      <c r="AC2" s="486" t="e">
        <f>INDEX(PT_DIFFERENTIATION_NTAR,MATCH(A2,PT_DIFFERENTIATION_NTAR_ID,0))</f>
        <v>#VALUE!</v>
      </c>
      <c r="AD2" s="487"/>
      <c r="AE2" s="487"/>
      <c r="AF2" s="487"/>
      <c r="AG2" s="487"/>
      <c r="AH2" s="487"/>
      <c r="AI2" s="487"/>
      <c r="AJ2" s="488"/>
      <c r="AK2"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8"/>
      <c r="AN2" s="128" t="str">
        <f t="shared" ref="AN2:AN9" si="30">IF(T2="","",T2)</f>
        <v xml:space="preserve">Наименование тарифа</v>
      </c>
      <c r="AO2" s="128"/>
      <c r="AP2" s="128"/>
    </row>
    <row r="3" ht="23.25"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8"/>
      <c r="AC3" s="486" t="e">
        <f>INDEX(PT_DIFFERENTIATION_TER,MATCH(B3,PT_DIFFERENTIATION_TER_ID,0))</f>
        <v>#VALUE!</v>
      </c>
      <c r="AD3" s="487"/>
      <c r="AE3" s="487"/>
      <c r="AF3" s="487"/>
      <c r="AG3" s="487"/>
      <c r="AH3" s="487"/>
      <c r="AI3" s="487"/>
      <c r="AJ3" s="488"/>
      <c r="AK3" s="489" t="s">
        <v>388</v>
      </c>
      <c r="AM3" s="128"/>
      <c r="AN3" s="128" t="str">
        <f t="shared" si="30"/>
        <v xml:space="preserve">Территория действия тарифа</v>
      </c>
      <c r="AO3" s="128"/>
      <c r="AP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504</v>
      </c>
      <c r="U4" s="485"/>
      <c r="V4" s="486"/>
      <c r="W4" s="487"/>
      <c r="X4" s="487"/>
      <c r="Y4" s="487"/>
      <c r="Z4" s="487"/>
      <c r="AA4" s="487"/>
      <c r="AB4" s="488"/>
      <c r="AC4" s="486" t="e">
        <f>INDEX(PT_DIFFERENTIATION_CS,MATCH(C4,PT_DIFFERENTIATION_CS_ID,0))</f>
        <v>#VALUE!</v>
      </c>
      <c r="AD4" s="487"/>
      <c r="AE4" s="487"/>
      <c r="AF4" s="487"/>
      <c r="AG4" s="487"/>
      <c r="AH4" s="487"/>
      <c r="AI4" s="487"/>
      <c r="AJ4" s="488"/>
      <c r="AK4" s="489" t="s">
        <v>505</v>
      </c>
      <c r="AM4" s="128"/>
      <c r="AN4" s="128" t="str">
        <f t="shared" si="30"/>
        <v xml:space="preserve">Наименование централизованной системы водоотведения</v>
      </c>
      <c r="AO4" s="128"/>
      <c r="AP4" s="128"/>
    </row>
    <row r="5" ht="23.25" hidden="1" customHeight="1">
      <c r="A5" s="478"/>
      <c r="B5" s="478"/>
      <c r="C5" s="478"/>
      <c r="D5" s="478"/>
      <c r="E5" s="490"/>
      <c r="F5" s="490"/>
      <c r="G5" s="490"/>
      <c r="H5" s="490"/>
      <c r="I5" s="167" t="e">
        <f>S4&amp;".1"</f>
        <v>#VALUE!</v>
      </c>
      <c r="J5" s="478"/>
      <c r="K5" s="478"/>
      <c r="L5" s="480"/>
      <c r="P5" s="131">
        <v>1</v>
      </c>
      <c r="Q5" s="131"/>
      <c r="R5" s="497"/>
      <c r="S5" s="483" t="e">
        <f>$I5</f>
        <v>#VALUE!</v>
      </c>
      <c r="T5" s="498" t="s">
        <v>473</v>
      </c>
      <c r="U5" s="485"/>
      <c r="V5" s="658"/>
      <c r="W5" s="659"/>
      <c r="X5" s="659"/>
      <c r="Y5" s="659"/>
      <c r="Z5" s="659"/>
      <c r="AA5" s="659"/>
      <c r="AB5" s="660"/>
      <c r="AC5" s="661"/>
      <c r="AD5" s="662"/>
      <c r="AE5" s="662"/>
      <c r="AF5" s="662"/>
      <c r="AG5" s="662"/>
      <c r="AH5" s="662"/>
      <c r="AI5" s="662"/>
      <c r="AJ5" s="663"/>
      <c r="AK5" s="489" t="s">
        <v>474</v>
      </c>
      <c r="AM5" s="128"/>
      <c r="AN5" s="128" t="str">
        <f t="shared" si="30"/>
        <v xml:space="preserve">Наименование признака дифференциации</v>
      </c>
      <c r="AO5" s="128"/>
      <c r="AP5" s="128"/>
    </row>
    <row r="6" ht="23.25" hidden="1" customHeight="1">
      <c r="A6" s="478"/>
      <c r="B6" s="478"/>
      <c r="C6" s="478"/>
      <c r="D6" s="478"/>
      <c r="E6" s="490"/>
      <c r="F6" s="490"/>
      <c r="G6" s="490"/>
      <c r="H6" s="490"/>
      <c r="I6" s="501"/>
      <c r="J6" s="167" t="e">
        <f>I5&amp;".1"</f>
        <v>#VALUE!</v>
      </c>
      <c r="K6" s="478"/>
      <c r="L6" s="480" t="s">
        <v>396</v>
      </c>
      <c r="P6" s="131"/>
      <c r="Q6" s="131">
        <v>1</v>
      </c>
      <c r="R6" s="502"/>
      <c r="S6" s="483" t="e">
        <f>$J6</f>
        <v>#VALUE!</v>
      </c>
      <c r="T6" s="503" t="s">
        <v>397</v>
      </c>
      <c r="U6" s="485"/>
      <c r="V6" s="430"/>
      <c r="W6" s="499"/>
      <c r="X6" s="499"/>
      <c r="Y6" s="499"/>
      <c r="Z6" s="499"/>
      <c r="AA6" s="499"/>
      <c r="AB6" s="500"/>
      <c r="AC6" s="430"/>
      <c r="AD6" s="499"/>
      <c r="AE6" s="499"/>
      <c r="AF6" s="499"/>
      <c r="AG6" s="499"/>
      <c r="AH6" s="499"/>
      <c r="AI6" s="499"/>
      <c r="AJ6" s="500"/>
      <c r="AK6" s="593" t="s">
        <v>475</v>
      </c>
      <c r="AM6" s="128"/>
      <c r="AN6" s="128" t="str">
        <f t="shared" si="30"/>
        <v xml:space="preserve">Группа потребителей</v>
      </c>
      <c r="AO6" s="128"/>
      <c r="AP6" s="128"/>
    </row>
    <row r="7" ht="23.25" hidden="1" customHeight="1">
      <c r="A7" s="478"/>
      <c r="B7" s="478"/>
      <c r="C7" s="478"/>
      <c r="D7" s="478"/>
      <c r="E7" s="490"/>
      <c r="F7" s="490"/>
      <c r="G7" s="490"/>
      <c r="H7" s="490"/>
      <c r="I7" s="501"/>
      <c r="J7" s="501"/>
      <c r="K7" s="167" t="e">
        <f>J6&amp;".1"</f>
        <v>#VALUE!</v>
      </c>
      <c r="L7" s="480"/>
      <c r="P7" s="131"/>
      <c r="Q7" s="131"/>
      <c r="R7" s="502">
        <v>1</v>
      </c>
      <c r="S7" s="483" t="e">
        <f>$K7</f>
        <v>#VALUE!</v>
      </c>
      <c r="T7" s="664"/>
      <c r="U7" s="485"/>
      <c r="V7" s="505"/>
      <c r="W7" s="505"/>
      <c r="X7" s="507"/>
      <c r="Y7" s="508"/>
      <c r="Z7" s="225" t="s">
        <v>56</v>
      </c>
      <c r="AA7" s="508"/>
      <c r="AB7" s="225" t="s">
        <v>56</v>
      </c>
      <c r="AC7" s="505"/>
      <c r="AD7" s="505"/>
      <c r="AE7" s="507"/>
      <c r="AF7" s="508"/>
      <c r="AG7" s="225" t="s">
        <v>56</v>
      </c>
      <c r="AH7" s="568"/>
      <c r="AI7" s="225" t="s">
        <v>56</v>
      </c>
      <c r="AJ7" s="665"/>
      <c r="AK7"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8"/>
      <c r="AN7" s="128" t="str">
        <f t="shared" si="30"/>
        <v/>
      </c>
      <c r="AO7" s="128"/>
      <c r="AP7" s="128"/>
    </row>
    <row r="8" ht="14.25" hidden="1" customHeight="1">
      <c r="A8" s="478"/>
      <c r="B8" s="478"/>
      <c r="C8" s="478"/>
      <c r="D8" s="478"/>
      <c r="E8" s="490"/>
      <c r="F8" s="490"/>
      <c r="G8" s="490"/>
      <c r="H8" s="490"/>
      <c r="I8" s="501"/>
      <c r="J8" s="501"/>
      <c r="K8" s="167"/>
      <c r="L8" s="480"/>
      <c r="P8" s="131"/>
      <c r="Q8" s="131"/>
      <c r="R8" s="502"/>
      <c r="S8" s="457"/>
      <c r="T8" s="485"/>
      <c r="U8" s="485"/>
      <c r="V8" s="506"/>
      <c r="W8" s="506"/>
      <c r="X8" s="510" t="str">
        <f>Y7&amp;"-"&amp;AA7</f>
        <v>-</v>
      </c>
      <c r="Y8" s="511"/>
      <c r="Z8" s="225"/>
      <c r="AA8" s="511"/>
      <c r="AB8" s="225"/>
      <c r="AC8" s="506"/>
      <c r="AD8" s="506"/>
      <c r="AE8" s="510" t="str">
        <f>AF7&amp;"-"&amp;AH7</f>
        <v>-</v>
      </c>
      <c r="AF8" s="511"/>
      <c r="AG8" s="225"/>
      <c r="AH8" s="570"/>
      <c r="AI8" s="225"/>
      <c r="AJ8" s="667"/>
      <c r="AK8" s="666"/>
      <c r="AM8" s="128"/>
      <c r="AN8" s="128" t="str">
        <f t="shared" si="30"/>
        <v/>
      </c>
      <c r="AO8" s="128"/>
      <c r="AP8" s="128"/>
    </row>
    <row r="9" ht="21" hidden="1" customHeight="1">
      <c r="A9" s="478"/>
      <c r="B9" s="478"/>
      <c r="C9" s="478"/>
      <c r="D9" s="478"/>
      <c r="E9" s="490"/>
      <c r="F9" s="490"/>
      <c r="G9" s="490"/>
      <c r="H9" s="490"/>
      <c r="I9" s="501"/>
      <c r="J9" s="167"/>
      <c r="K9" s="478"/>
      <c r="L9" s="480"/>
      <c r="P9" s="131"/>
      <c r="Q9" s="131"/>
      <c r="R9" s="497"/>
      <c r="S9" s="513"/>
      <c r="T9" s="517" t="s">
        <v>476</v>
      </c>
      <c r="U9" s="215"/>
      <c r="V9" s="215"/>
      <c r="W9" s="215"/>
      <c r="X9" s="215"/>
      <c r="Y9" s="215"/>
      <c r="Z9" s="215"/>
      <c r="AA9" s="215"/>
      <c r="AB9" s="215"/>
      <c r="AC9" s="215"/>
      <c r="AD9" s="215"/>
      <c r="AE9" s="215"/>
      <c r="AF9" s="215"/>
      <c r="AG9" s="215"/>
      <c r="AH9" s="215"/>
      <c r="AI9" s="215"/>
      <c r="AJ9" s="215"/>
      <c r="AK9" s="489" t="s">
        <v>477</v>
      </c>
      <c r="AM9" s="128"/>
      <c r="AN9" s="128" t="str">
        <f t="shared" si="30"/>
        <v xml:space="preserve">Добавить значение признака дифференциации</v>
      </c>
      <c r="AO9" s="128"/>
      <c r="AP9" s="128"/>
    </row>
    <row r="10" ht="21" hidden="1" customHeight="1">
      <c r="A10" s="478"/>
      <c r="B10" s="478"/>
      <c r="C10" s="478"/>
      <c r="D10" s="478"/>
      <c r="E10" s="490"/>
      <c r="F10" s="490"/>
      <c r="G10" s="490"/>
      <c r="H10" s="490"/>
      <c r="I10" s="167"/>
      <c r="J10" s="478"/>
      <c r="K10" s="478"/>
      <c r="L10" s="480"/>
      <c r="P10" s="131"/>
      <c r="Q10" s="131"/>
      <c r="R10" s="497"/>
      <c r="S10" s="513"/>
      <c r="T10" s="521" t="s">
        <v>402</v>
      </c>
      <c r="U10" s="215"/>
      <c r="V10" s="215"/>
      <c r="W10" s="215"/>
      <c r="X10" s="215"/>
      <c r="Y10" s="215"/>
      <c r="Z10" s="215"/>
      <c r="AA10" s="215"/>
      <c r="AB10" s="518"/>
      <c r="AC10" s="215"/>
      <c r="AD10" s="215"/>
      <c r="AE10" s="215"/>
      <c r="AF10" s="215"/>
      <c r="AG10" s="215"/>
      <c r="AH10" s="215"/>
      <c r="AI10" s="518"/>
      <c r="AJ10" s="215"/>
      <c r="AK10" s="668"/>
      <c r="AM10" s="128"/>
      <c r="AN10" s="128" t="str">
        <f t="shared" ref="AN10:AN53" si="31">IF(T10="","",T10)</f>
        <v xml:space="preserve">Добавить группу потребителей</v>
      </c>
      <c r="AO10" s="128"/>
      <c r="AP10" s="128"/>
    </row>
    <row r="11" ht="21" hidden="1" customHeight="1">
      <c r="A11" s="478"/>
      <c r="B11" s="478"/>
      <c r="C11" s="478"/>
      <c r="D11" s="478"/>
      <c r="E11" s="490"/>
      <c r="F11" s="490"/>
      <c r="G11" s="490"/>
      <c r="H11" s="479"/>
      <c r="I11" s="478"/>
      <c r="J11" s="478"/>
      <c r="K11" s="478"/>
      <c r="L11" s="480"/>
      <c r="M11" s="481"/>
      <c r="N11" s="481"/>
      <c r="O11" s="53"/>
      <c r="P11" s="142"/>
      <c r="Q11" s="520"/>
      <c r="R11" s="482"/>
      <c r="S11" s="513"/>
      <c r="T11" s="669" t="s">
        <v>478</v>
      </c>
      <c r="U11" s="215"/>
      <c r="V11" s="215"/>
      <c r="W11" s="215"/>
      <c r="X11" s="215"/>
      <c r="Y11" s="215"/>
      <c r="Z11" s="215"/>
      <c r="AA11" s="215"/>
      <c r="AB11" s="518"/>
      <c r="AC11" s="215"/>
      <c r="AD11" s="215"/>
      <c r="AE11" s="215"/>
      <c r="AF11" s="215"/>
      <c r="AG11" s="215"/>
      <c r="AH11" s="215"/>
      <c r="AI11" s="518"/>
      <c r="AJ11" s="215"/>
      <c r="AK11" s="519"/>
      <c r="AM11" s="128"/>
      <c r="AN11" s="128" t="str">
        <f t="shared" si="31"/>
        <v xml:space="preserve">Добавить наименование признака дифференциации</v>
      </c>
      <c r="AO11" s="128"/>
      <c r="AP11" s="128"/>
    </row>
    <row r="12" s="57" customFormat="1" ht="14.25" hidden="1" customHeight="1">
      <c r="A12" s="132"/>
      <c r="B12" s="132"/>
      <c r="C12" s="132"/>
      <c r="D12" s="132"/>
      <c r="E12" s="490"/>
      <c r="F12" s="479"/>
      <c r="G12" s="132"/>
      <c r="H12" s="132"/>
      <c r="I12" s="132"/>
      <c r="J12" s="132"/>
      <c r="K12" s="132"/>
      <c r="L12" s="213"/>
      <c r="M12" s="526"/>
      <c r="N12" s="526"/>
      <c r="P12" s="166"/>
      <c r="Q12" s="522"/>
      <c r="R12" s="166"/>
      <c r="S12" s="527"/>
      <c r="T12" s="530" t="s">
        <v>405</v>
      </c>
      <c r="U12" s="529"/>
      <c r="V12" s="529"/>
      <c r="W12" s="529"/>
      <c r="X12" s="529"/>
      <c r="Y12" s="529"/>
      <c r="Z12" s="529"/>
      <c r="AA12" s="529"/>
      <c r="AB12" s="529"/>
      <c r="AC12" s="529"/>
      <c r="AD12" s="529"/>
      <c r="AE12" s="529"/>
      <c r="AF12" s="529"/>
      <c r="AG12" s="529"/>
      <c r="AH12" s="529"/>
      <c r="AI12" s="529"/>
      <c r="AJ12" s="529"/>
      <c r="AK12" s="529"/>
      <c r="AM12" s="128"/>
      <c r="AN12" s="128" t="str">
        <f t="shared" si="31"/>
        <v xml:space="preserve">Добавить централизованную систему для дифференциации</v>
      </c>
      <c r="AO12" s="128"/>
      <c r="AP12" s="128"/>
    </row>
    <row r="13" s="57" customFormat="1" ht="14.25" hidden="1" customHeight="1">
      <c r="A13" s="132"/>
      <c r="B13" s="132"/>
      <c r="C13" s="132"/>
      <c r="D13" s="132"/>
      <c r="E13" s="479"/>
      <c r="F13" s="132"/>
      <c r="G13" s="132"/>
      <c r="H13" s="132"/>
      <c r="I13" s="132"/>
      <c r="J13" s="132"/>
      <c r="K13" s="132"/>
      <c r="L13" s="213"/>
      <c r="M13" s="526"/>
      <c r="N13" s="526"/>
      <c r="O13" s="57"/>
      <c r="P13" s="166"/>
      <c r="Q13" s="522"/>
      <c r="R13" s="166"/>
      <c r="S13" s="527"/>
      <c r="T13" s="530" t="s">
        <v>406</v>
      </c>
      <c r="U13" s="529"/>
      <c r="V13" s="529"/>
      <c r="W13" s="529"/>
      <c r="X13" s="529"/>
      <c r="Y13" s="529"/>
      <c r="Z13" s="529"/>
      <c r="AA13" s="529"/>
      <c r="AB13" s="529"/>
      <c r="AC13" s="529"/>
      <c r="AD13" s="529"/>
      <c r="AE13" s="529"/>
      <c r="AF13" s="529"/>
      <c r="AG13" s="529"/>
      <c r="AH13" s="529"/>
      <c r="AI13" s="529"/>
      <c r="AJ13" s="529"/>
      <c r="AK13" s="529"/>
      <c r="AM13" s="128"/>
      <c r="AN13" s="128" t="str">
        <f t="shared" si="31"/>
        <v xml:space="preserve">Добавить территорию для дифференциации</v>
      </c>
      <c r="AO13" s="128"/>
      <c r="AP13" s="128"/>
    </row>
    <row r="14" ht="14.25" hidden="1" customHeight="1">
      <c r="AB14" s="50"/>
      <c r="AI14" s="50"/>
    </row>
    <row r="15" ht="14.25" hidden="1" customHeight="1">
      <c r="AC15" s="531"/>
      <c r="AD15" s="531"/>
      <c r="AE15" s="532"/>
      <c r="AF15" s="533"/>
      <c r="AG15" s="534" t="s">
        <v>56</v>
      </c>
      <c r="AH15" s="533"/>
      <c r="AI15" s="534" t="s">
        <v>56</v>
      </c>
    </row>
    <row r="16" ht="14.25" hidden="1" customHeight="1">
      <c r="AC16" s="531"/>
      <c r="AD16" s="531"/>
      <c r="AE16" s="510" t="str">
        <f>AF15&amp;"-"&amp;AH15</f>
        <v>-</v>
      </c>
      <c r="AF16" s="534"/>
      <c r="AG16" s="534"/>
      <c r="AH16" s="534"/>
      <c r="AI16" s="534"/>
    </row>
    <row r="17" ht="14.25" hidden="1" customHeight="1">
      <c r="AI17" s="50"/>
    </row>
    <row r="18" s="53" customFormat="1" ht="22.5" hidden="1" customHeight="1">
      <c r="L18" s="113"/>
      <c r="M18" s="61"/>
      <c r="N18" s="61"/>
      <c r="O18" s="535" t="s">
        <v>407</v>
      </c>
      <c r="P18" s="61"/>
      <c r="Q18" s="536"/>
      <c r="R18" s="536"/>
      <c r="S18" s="481"/>
      <c r="Y18" s="535"/>
      <c r="AA18" s="535"/>
      <c r="AB18" s="53"/>
      <c r="AF18" s="535"/>
      <c r="AH18" s="535"/>
      <c r="AI18" s="53"/>
      <c r="AL18" s="57"/>
      <c r="AM18" s="57"/>
      <c r="AN18" s="57"/>
      <c r="AO18" s="57"/>
      <c r="AP18" s="57"/>
    </row>
    <row r="19" s="53" customFormat="1" ht="14.25" hidden="1" customHeight="1">
      <c r="L19" s="113"/>
      <c r="M19" s="61"/>
      <c r="N19" s="61"/>
      <c r="O19" s="61"/>
      <c r="P19" s="61"/>
      <c r="Q19" s="536"/>
      <c r="R19" s="536"/>
      <c r="S19" s="481"/>
      <c r="AB19" s="53"/>
      <c r="AI19" s="53"/>
      <c r="AL19" s="57"/>
      <c r="AM19" s="57"/>
      <c r="AN19" s="57"/>
      <c r="AO19" s="57"/>
      <c r="AP19" s="57"/>
    </row>
    <row r="20" s="53" customFormat="1" ht="12" hidden="1" customHeight="1">
      <c r="L20" s="113"/>
      <c r="M20" s="61"/>
      <c r="N20" s="61"/>
      <c r="O20" s="480" t="s">
        <v>408</v>
      </c>
      <c r="P20" s="61"/>
      <c r="Q20" s="670"/>
      <c r="R20" s="670"/>
      <c r="S20" s="481"/>
      <c r="T20" s="53" t="s">
        <v>409</v>
      </c>
      <c r="Z20" s="150" t="s">
        <v>410</v>
      </c>
      <c r="AB20" s="150" t="s">
        <v>411</v>
      </c>
      <c r="AC20" s="53" t="s">
        <v>409</v>
      </c>
      <c r="AG20" s="150" t="s">
        <v>412</v>
      </c>
      <c r="AI20" s="150" t="s">
        <v>411</v>
      </c>
    </row>
    <row r="21" ht="14.25" hidden="1" customHeight="1">
      <c r="O21" s="480"/>
    </row>
    <row r="22" ht="14.25" hidden="1" customHeight="1">
      <c r="O22" s="480"/>
    </row>
    <row r="23" ht="14.25" customHeight="1">
      <c r="Q23" s="537"/>
      <c r="R23" s="537"/>
      <c r="S23" s="538"/>
      <c r="T23" s="89"/>
      <c r="U23" s="89"/>
      <c r="V23" s="50"/>
      <c r="W23" s="50"/>
      <c r="X23" s="50"/>
      <c r="Y23" s="50"/>
      <c r="Z23" s="50"/>
      <c r="AA23" s="50"/>
      <c r="AB23" s="50"/>
      <c r="AC23" s="50"/>
      <c r="AD23" s="50"/>
      <c r="AE23" s="50"/>
      <c r="AF23" s="50"/>
      <c r="AG23" s="50"/>
      <c r="AH23" s="50"/>
      <c r="AI23" s="50"/>
    </row>
    <row r="24" ht="14.25" customHeight="1">
      <c r="Q24" s="537"/>
      <c r="R24" s="537"/>
      <c r="S24" s="451"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51"/>
      <c r="U24" s="451"/>
      <c r="V24" s="451"/>
      <c r="W24" s="451"/>
      <c r="X24" s="451"/>
      <c r="Y24" s="451"/>
      <c r="Z24" s="451"/>
      <c r="AA24" s="451"/>
      <c r="AB24" s="451"/>
      <c r="AC24" s="451"/>
      <c r="AD24" s="451"/>
      <c r="AE24" s="451"/>
      <c r="AF24" s="451"/>
      <c r="AG24" s="451"/>
      <c r="AH24" s="451"/>
      <c r="AI24" s="241"/>
    </row>
    <row r="25" ht="14.25" customHeight="1">
      <c r="Q25" s="537"/>
      <c r="R25" s="537"/>
      <c r="S25" s="302" t="str">
        <f>IF(org=0,"Не определено",org)</f>
        <v xml:space="preserve">филиал ПАО "ОГК-2" - Адлерская ТЭС</v>
      </c>
      <c r="T25" s="302"/>
      <c r="U25" s="302"/>
      <c r="V25" s="302"/>
      <c r="W25" s="302"/>
      <c r="X25" s="302"/>
      <c r="Y25" s="302"/>
      <c r="Z25" s="302"/>
      <c r="AA25" s="302"/>
      <c r="AB25" s="302"/>
      <c r="AC25" s="302"/>
      <c r="AD25" s="302"/>
      <c r="AE25" s="302"/>
      <c r="AF25" s="302"/>
      <c r="AG25" s="302"/>
      <c r="AH25" s="302"/>
      <c r="AI25" s="241"/>
    </row>
    <row r="26" ht="14.25" hidden="1" customHeight="1">
      <c r="Q26" s="537"/>
      <c r="R26" s="537"/>
      <c r="S26" s="538"/>
      <c r="T26" s="89"/>
      <c r="U26" s="89"/>
      <c r="V26" s="539"/>
      <c r="W26" s="539"/>
      <c r="X26" s="539"/>
      <c r="Y26" s="539"/>
      <c r="Z26" s="539"/>
      <c r="AA26" s="539"/>
      <c r="AB26" s="539"/>
      <c r="AC26" s="539"/>
      <c r="AD26" s="539"/>
      <c r="AE26" s="539"/>
      <c r="AF26" s="539"/>
      <c r="AG26" s="539"/>
      <c r="AH26" s="539"/>
      <c r="AI26" s="539"/>
      <c r="AJ26" s="50"/>
    </row>
    <row r="27" s="185" customFormat="1" ht="25.5" hidden="1" customHeight="1">
      <c r="A27" s="150"/>
      <c r="B27" s="150"/>
      <c r="C27" s="150"/>
      <c r="D27" s="150"/>
      <c r="E27" s="150"/>
      <c r="F27" s="150"/>
      <c r="G27" s="150"/>
      <c r="H27" s="150"/>
      <c r="I27" s="150"/>
      <c r="J27" s="150"/>
      <c r="K27" s="150"/>
      <c r="L27" s="480"/>
      <c r="M27" s="150"/>
      <c r="N27" s="150"/>
      <c r="O27" s="150"/>
      <c r="S27" s="540" t="s">
        <v>38</v>
      </c>
      <c r="T27" s="540"/>
      <c r="U27" s="541"/>
      <c r="V27" s="542" t="str">
        <f>IF(TITLE_NAME_OR_PR_CHANGE="",IF(TITLE_NAME_OR_PR="","",TITLE_NAME_OR_PR),TITLE_NAME_OR_PR_CHANGE)</f>
        <v/>
      </c>
      <c r="W27" s="542"/>
      <c r="X27" s="542"/>
      <c r="Y27" s="542"/>
      <c r="Z27" s="542"/>
      <c r="AA27" s="542"/>
      <c r="AB27" s="50"/>
      <c r="AC27" s="542" t="str">
        <f>IF(TITLE_NAME_OR_PR_CHANGE="",IF(TITLE_NAME_OR_PR="","",TITLE_NAME_OR_PR),TITLE_NAME_OR_PR_CHANGE)</f>
        <v/>
      </c>
      <c r="AD27" s="542"/>
      <c r="AE27" s="542"/>
      <c r="AF27" s="542"/>
      <c r="AG27" s="542"/>
      <c r="AH27" s="542"/>
      <c r="AI27" s="50"/>
      <c r="AJ27" s="50"/>
      <c r="AK27" s="543"/>
      <c r="AL27" s="128"/>
      <c r="AM27" s="128"/>
      <c r="AN27" s="128"/>
      <c r="AO27" s="128"/>
      <c r="AP27" s="128"/>
    </row>
    <row r="28" s="185" customFormat="1" ht="18.75" hidden="1" customHeight="1">
      <c r="A28" s="150"/>
      <c r="B28" s="150"/>
      <c r="C28" s="150"/>
      <c r="D28" s="150"/>
      <c r="E28" s="150"/>
      <c r="F28" s="150"/>
      <c r="G28" s="150"/>
      <c r="H28" s="150"/>
      <c r="I28" s="150"/>
      <c r="J28" s="150"/>
      <c r="K28" s="150"/>
      <c r="L28" s="480"/>
      <c r="M28" s="150"/>
      <c r="N28" s="150"/>
      <c r="O28" s="150"/>
      <c r="S28" s="540" t="s">
        <v>413</v>
      </c>
      <c r="T28" s="540"/>
      <c r="U28" s="541"/>
      <c r="V28" s="544" t="str">
        <f>IF(TITLE_DATE_PR_CHANGE="",IF(TITLE_DATE_PR="","",TITLE_DATE_PR),TITLE_DATE_PR_CHANGE)</f>
        <v/>
      </c>
      <c r="W28" s="544"/>
      <c r="X28" s="544"/>
      <c r="Y28" s="544"/>
      <c r="Z28" s="544"/>
      <c r="AA28" s="544"/>
      <c r="AB28" s="50"/>
      <c r="AC28" s="544" t="str">
        <f>IF(TITLE_DATE_PR_CHANGE="",IF(TITLE_DATE_PR="","",TITLE_DATE_PR),TITLE_DATE_PR_CHANGE)</f>
        <v/>
      </c>
      <c r="AD28" s="544"/>
      <c r="AE28" s="544"/>
      <c r="AF28" s="544"/>
      <c r="AG28" s="544"/>
      <c r="AH28" s="544"/>
      <c r="AI28" s="50"/>
      <c r="AJ28" s="50"/>
      <c r="AK28" s="543"/>
      <c r="AL28" s="128"/>
      <c r="AM28" s="128"/>
      <c r="AN28" s="128"/>
      <c r="AO28" s="128"/>
      <c r="AP28" s="128"/>
    </row>
    <row r="29" s="185" customFormat="1" ht="18.75" hidden="1" customHeight="1">
      <c r="A29" s="150"/>
      <c r="B29" s="150"/>
      <c r="C29" s="150"/>
      <c r="D29" s="150"/>
      <c r="E29" s="150"/>
      <c r="F29" s="150"/>
      <c r="G29" s="150"/>
      <c r="H29" s="150"/>
      <c r="I29" s="150"/>
      <c r="J29" s="150"/>
      <c r="K29" s="150"/>
      <c r="L29" s="480"/>
      <c r="M29" s="150"/>
      <c r="N29" s="150"/>
      <c r="O29" s="150"/>
      <c r="S29" s="540" t="s">
        <v>414</v>
      </c>
      <c r="T29" s="540"/>
      <c r="U29" s="541"/>
      <c r="V29" s="542" t="str">
        <f>IF(TITLE_NUMBER_PR_CHANGE="",IF(TITLE_NUMBER_PR="","",TITLE_NUMBER_PR),TITLE_NUMBER_PR_CHANGE)</f>
        <v/>
      </c>
      <c r="W29" s="542"/>
      <c r="X29" s="542"/>
      <c r="Y29" s="542"/>
      <c r="Z29" s="542"/>
      <c r="AA29" s="542"/>
      <c r="AB29" s="50"/>
      <c r="AC29" s="542" t="str">
        <f>IF(TITLE_NUMBER_PR_CHANGE="",IF(TITLE_NUMBER_PR="","",TITLE_NUMBER_PR),TITLE_NUMBER_PR_CHANGE)</f>
        <v/>
      </c>
      <c r="AD29" s="542"/>
      <c r="AE29" s="542"/>
      <c r="AF29" s="542"/>
      <c r="AG29" s="542"/>
      <c r="AH29" s="542"/>
      <c r="AI29" s="50"/>
      <c r="AJ29" s="50"/>
      <c r="AK29" s="543"/>
      <c r="AL29" s="128"/>
      <c r="AM29" s="128"/>
      <c r="AN29" s="128"/>
      <c r="AO29" s="128"/>
      <c r="AP29" s="128"/>
    </row>
    <row r="30" s="185" customFormat="1" ht="18.75" hidden="1" customHeight="1">
      <c r="A30" s="150"/>
      <c r="B30" s="150"/>
      <c r="C30" s="150"/>
      <c r="D30" s="150"/>
      <c r="E30" s="150"/>
      <c r="F30" s="150"/>
      <c r="G30" s="150"/>
      <c r="H30" s="150"/>
      <c r="I30" s="150"/>
      <c r="J30" s="150"/>
      <c r="K30" s="150"/>
      <c r="L30" s="480"/>
      <c r="M30" s="150"/>
      <c r="N30" s="150"/>
      <c r="O30" s="150"/>
      <c r="S30" s="540" t="s">
        <v>39</v>
      </c>
      <c r="T30" s="540"/>
      <c r="U30" s="541"/>
      <c r="V30" s="542" t="str">
        <f>IF(TITLE_IST_PUB_CHANGE="",IF(TITLE_IST_PUB="","",TITLE_IST_PUB),TITLE_IST_PUB_CHANGE)</f>
        <v/>
      </c>
      <c r="W30" s="542"/>
      <c r="X30" s="542"/>
      <c r="Y30" s="542"/>
      <c r="Z30" s="542"/>
      <c r="AA30" s="542"/>
      <c r="AB30" s="50"/>
      <c r="AC30" s="542" t="str">
        <f>IF(TITLE_IST_PUB_CHANGE="",IF(TITLE_IST_PUB="","",TITLE_IST_PUB),TITLE_IST_PUB_CHANGE)</f>
        <v/>
      </c>
      <c r="AD30" s="542"/>
      <c r="AE30" s="542"/>
      <c r="AF30" s="542"/>
      <c r="AG30" s="542"/>
      <c r="AH30" s="542"/>
      <c r="AI30" s="50"/>
      <c r="AJ30" s="50"/>
      <c r="AK30" s="543"/>
      <c r="AL30" s="128"/>
      <c r="AM30" s="128"/>
      <c r="AN30" s="128"/>
      <c r="AO30" s="128"/>
      <c r="AP30" s="128"/>
    </row>
    <row r="31" ht="14.25" hidden="1" customHeight="1">
      <c r="Q31" s="537"/>
      <c r="R31" s="537"/>
      <c r="S31" s="538"/>
      <c r="T31" s="89"/>
      <c r="U31" s="89"/>
      <c r="V31" s="539"/>
      <c r="W31" s="539"/>
      <c r="X31" s="539"/>
      <c r="Y31" s="539"/>
      <c r="Z31" s="539"/>
      <c r="AA31" s="539"/>
      <c r="AB31" s="539"/>
      <c r="AC31" s="539"/>
      <c r="AD31" s="539"/>
      <c r="AE31" s="539"/>
      <c r="AF31" s="539"/>
      <c r="AG31" s="539"/>
      <c r="AH31" s="539"/>
      <c r="AI31" s="539"/>
      <c r="AJ31" s="50"/>
    </row>
    <row r="32" s="185" customFormat="1" ht="18.75" hidden="1" customHeight="1">
      <c r="A32" s="150"/>
      <c r="B32" s="150"/>
      <c r="C32" s="150"/>
      <c r="D32" s="150"/>
      <c r="E32" s="150"/>
      <c r="F32" s="150"/>
      <c r="G32" s="150"/>
      <c r="H32" s="150"/>
      <c r="I32" s="150"/>
      <c r="J32" s="150"/>
      <c r="K32" s="150"/>
      <c r="L32" s="480"/>
      <c r="M32" s="150"/>
      <c r="N32" s="150"/>
      <c r="O32" s="150"/>
      <c r="S32" s="540" t="s">
        <v>415</v>
      </c>
      <c r="T32" s="540"/>
      <c r="U32" s="541"/>
      <c r="V32" s="544" t="str">
        <f>IF(TITLE_DATE_PR_CHANGE="",IF(TITLE_DATE_PR="","",TITLE_DATE_PR),TITLE_DATE_PR_CHANGE)</f>
        <v/>
      </c>
      <c r="W32" s="544"/>
      <c r="X32" s="544"/>
      <c r="Y32" s="544"/>
      <c r="Z32" s="544"/>
      <c r="AA32" s="544"/>
      <c r="AB32" s="50"/>
      <c r="AC32" s="544" t="str">
        <f>IF(TITLE_DATE_PR_CHANGE="",IF(TITLE_DATE_PR="","",TITLE_DATE_PR),TITLE_DATE_PR_CHANGE)</f>
        <v/>
      </c>
      <c r="AD32" s="544"/>
      <c r="AE32" s="544"/>
      <c r="AF32" s="544"/>
      <c r="AG32" s="544"/>
      <c r="AH32" s="544"/>
      <c r="AI32" s="50"/>
      <c r="AJ32" s="50"/>
      <c r="AK32" s="543"/>
      <c r="AL32" s="128"/>
      <c r="AM32" s="128"/>
      <c r="AN32" s="128"/>
      <c r="AO32" s="128"/>
      <c r="AP32" s="128"/>
    </row>
    <row r="33" s="185" customFormat="1" ht="18.75" hidden="1" customHeight="1">
      <c r="A33" s="150"/>
      <c r="B33" s="150"/>
      <c r="C33" s="150"/>
      <c r="D33" s="150"/>
      <c r="E33" s="150"/>
      <c r="F33" s="150"/>
      <c r="G33" s="150"/>
      <c r="H33" s="150"/>
      <c r="I33" s="150"/>
      <c r="J33" s="150"/>
      <c r="K33" s="150"/>
      <c r="L33" s="480"/>
      <c r="M33" s="150"/>
      <c r="N33" s="150"/>
      <c r="O33" s="150"/>
      <c r="S33" s="540" t="s">
        <v>416</v>
      </c>
      <c r="T33" s="540"/>
      <c r="U33" s="541"/>
      <c r="V33" s="542" t="str">
        <f>IF(TITLE_NUMBER_PR_CHANGE="",IF(TITLE_NUMBER_PR="","",TITLE_NUMBER_PR),TITLE_NUMBER_PR_CHANGE)</f>
        <v/>
      </c>
      <c r="W33" s="542"/>
      <c r="X33" s="542"/>
      <c r="Y33" s="542"/>
      <c r="Z33" s="542"/>
      <c r="AA33" s="542"/>
      <c r="AB33" s="50"/>
      <c r="AC33" s="542" t="str">
        <f>IF(TITLE_NUMBER_PR_CHANGE="",IF(TITLE_NUMBER_PR="","",TITLE_NUMBER_PR),TITLE_NUMBER_PR_CHANGE)</f>
        <v/>
      </c>
      <c r="AD33" s="542"/>
      <c r="AE33" s="542"/>
      <c r="AF33" s="542"/>
      <c r="AG33" s="542"/>
      <c r="AH33" s="542"/>
      <c r="AI33" s="50"/>
      <c r="AJ33" s="50"/>
      <c r="AK33" s="543"/>
      <c r="AL33" s="128"/>
      <c r="AM33" s="128"/>
      <c r="AN33" s="128"/>
      <c r="AO33" s="128"/>
      <c r="AP33" s="128"/>
    </row>
    <row r="34" s="185" customFormat="1" ht="0.75" customHeight="1">
      <c r="A34" s="150"/>
      <c r="B34" s="150"/>
      <c r="C34" s="150"/>
      <c r="D34" s="150"/>
      <c r="E34" s="150"/>
      <c r="F34" s="150"/>
      <c r="G34" s="150"/>
      <c r="H34" s="150"/>
      <c r="I34" s="150"/>
      <c r="J34" s="150"/>
      <c r="K34" s="150"/>
      <c r="L34" s="480"/>
      <c r="M34" s="150"/>
      <c r="N34" s="150"/>
      <c r="O34" s="150"/>
      <c r="S34" s="50"/>
      <c r="T34" s="50"/>
      <c r="U34" s="139"/>
      <c r="V34" s="50"/>
      <c r="W34" s="50"/>
      <c r="X34" s="50"/>
      <c r="Y34" s="50"/>
      <c r="Z34" s="50"/>
      <c r="AA34" s="50"/>
      <c r="AB34" s="57" t="s">
        <v>417</v>
      </c>
      <c r="AC34" s="50"/>
      <c r="AD34" s="50"/>
      <c r="AE34" s="50"/>
      <c r="AF34" s="50"/>
      <c r="AG34" s="50"/>
      <c r="AH34" s="50"/>
      <c r="AI34" s="57" t="s">
        <v>417</v>
      </c>
      <c r="AL34" s="128"/>
      <c r="AM34" s="128"/>
      <c r="AN34" s="128"/>
      <c r="AO34" s="128"/>
      <c r="AP34" s="128"/>
    </row>
    <row r="35" ht="14.25" customHeight="1">
      <c r="Q35" s="537"/>
      <c r="R35" s="537"/>
      <c r="S35" s="538"/>
      <c r="T35" s="89"/>
      <c r="U35" s="545"/>
      <c r="V35" s="546"/>
      <c r="W35" s="546"/>
      <c r="X35" s="546"/>
      <c r="Y35" s="546"/>
      <c r="Z35" s="546"/>
      <c r="AA35" s="546"/>
      <c r="AB35" s="546"/>
      <c r="AC35" s="546"/>
      <c r="AD35" s="546"/>
      <c r="AE35" s="546"/>
      <c r="AF35" s="546"/>
      <c r="AG35" s="546"/>
      <c r="AH35" s="546"/>
      <c r="AI35" s="546"/>
    </row>
    <row r="36" ht="14.25" customHeight="1">
      <c r="Q36" s="537"/>
      <c r="R36" s="537"/>
      <c r="S36" s="156" t="s">
        <v>288</v>
      </c>
      <c r="T36" s="156"/>
      <c r="U36" s="156"/>
      <c r="V36" s="156"/>
      <c r="W36" s="156"/>
      <c r="X36" s="156"/>
      <c r="Y36" s="156"/>
      <c r="Z36" s="156"/>
      <c r="AA36" s="156"/>
      <c r="AB36" s="156"/>
      <c r="AC36" s="156"/>
      <c r="AD36" s="156"/>
      <c r="AE36" s="156"/>
      <c r="AF36" s="156"/>
      <c r="AG36" s="156"/>
      <c r="AH36" s="156"/>
      <c r="AI36" s="156"/>
      <c r="AJ36" s="156"/>
      <c r="AK36" s="156" t="s">
        <v>289</v>
      </c>
    </row>
    <row r="37" ht="14.25" customHeight="1">
      <c r="Q37" s="537"/>
      <c r="R37" s="537"/>
      <c r="S37" s="483" t="s">
        <v>85</v>
      </c>
      <c r="T37" s="347" t="s">
        <v>418</v>
      </c>
      <c r="U37" s="547"/>
      <c r="V37" s="548" t="s">
        <v>419</v>
      </c>
      <c r="W37" s="549"/>
      <c r="X37" s="549"/>
      <c r="Y37" s="549"/>
      <c r="Z37" s="549"/>
      <c r="AA37" s="550"/>
      <c r="AB37" s="551" t="s">
        <v>420</v>
      </c>
      <c r="AC37" s="548" t="s">
        <v>419</v>
      </c>
      <c r="AD37" s="549"/>
      <c r="AE37" s="549"/>
      <c r="AF37" s="549"/>
      <c r="AG37" s="549"/>
      <c r="AH37" s="550"/>
      <c r="AI37" s="551" t="s">
        <v>421</v>
      </c>
      <c r="AJ37" s="552" t="s">
        <v>422</v>
      </c>
      <c r="AK37" s="156"/>
    </row>
    <row r="38" ht="33.75" customHeight="1">
      <c r="Q38" s="537"/>
      <c r="R38" s="537"/>
      <c r="S38" s="483"/>
      <c r="T38" s="347"/>
      <c r="U38" s="553"/>
      <c r="V38" s="306" t="s">
        <v>479</v>
      </c>
      <c r="W38" s="73" t="s">
        <v>425</v>
      </c>
      <c r="X38" s="72"/>
      <c r="Y38" s="73" t="s">
        <v>426</v>
      </c>
      <c r="Z38" s="144"/>
      <c r="AA38" s="72"/>
      <c r="AB38" s="555"/>
      <c r="AC38" s="306" t="s">
        <v>479</v>
      </c>
      <c r="AD38" s="73" t="s">
        <v>425</v>
      </c>
      <c r="AE38" s="72"/>
      <c r="AF38" s="73" t="s">
        <v>426</v>
      </c>
      <c r="AG38" s="144"/>
      <c r="AH38" s="72"/>
      <c r="AI38" s="555"/>
      <c r="AJ38" s="556"/>
      <c r="AK38" s="156"/>
    </row>
    <row r="39" ht="86.25" customHeight="1">
      <c r="A39" s="150"/>
      <c r="B39" s="150" t="s">
        <v>137</v>
      </c>
      <c r="C39" s="150" t="s">
        <v>138</v>
      </c>
      <c r="D39" s="150" t="s">
        <v>139</v>
      </c>
      <c r="E39" s="480" t="s">
        <v>427</v>
      </c>
      <c r="F39" s="480" t="s">
        <v>428</v>
      </c>
      <c r="G39" s="480" t="s">
        <v>429</v>
      </c>
      <c r="H39" s="480"/>
      <c r="I39" s="480" t="s">
        <v>480</v>
      </c>
      <c r="J39" s="480" t="s">
        <v>432</v>
      </c>
      <c r="K39" s="480" t="s">
        <v>481</v>
      </c>
      <c r="L39" s="480" t="s">
        <v>408</v>
      </c>
      <c r="Q39" s="537"/>
      <c r="R39" s="537"/>
      <c r="S39" s="483"/>
      <c r="T39" s="347"/>
      <c r="U39" s="557"/>
      <c r="V39" s="306" t="s">
        <v>506</v>
      </c>
      <c r="W39" s="247" t="s">
        <v>507</v>
      </c>
      <c r="X39" s="247" t="s">
        <v>484</v>
      </c>
      <c r="Y39" s="247" t="s">
        <v>436</v>
      </c>
      <c r="Z39" s="414" t="s">
        <v>437</v>
      </c>
      <c r="AA39" s="416"/>
      <c r="AB39" s="559"/>
      <c r="AC39" s="306" t="s">
        <v>506</v>
      </c>
      <c r="AD39" s="247" t="s">
        <v>507</v>
      </c>
      <c r="AE39" s="247" t="s">
        <v>484</v>
      </c>
      <c r="AF39" s="247" t="s">
        <v>436</v>
      </c>
      <c r="AG39" s="414" t="s">
        <v>437</v>
      </c>
      <c r="AH39" s="416"/>
      <c r="AI39" s="559"/>
      <c r="AJ39" s="560"/>
      <c r="AK39" s="156"/>
    </row>
    <row r="40" s="130" customFormat="1" ht="11.25" hidden="1" customHeight="1">
      <c r="A40" s="150"/>
      <c r="B40" s="150"/>
      <c r="C40" s="150"/>
      <c r="D40" s="150"/>
      <c r="E40" s="150"/>
      <c r="F40" s="150"/>
      <c r="G40" s="150"/>
      <c r="H40" s="150"/>
      <c r="I40" s="150"/>
      <c r="J40" s="150"/>
      <c r="K40" s="150"/>
      <c r="L40" s="480"/>
      <c r="M40" s="61"/>
      <c r="N40" s="61"/>
      <c r="O40" s="61"/>
      <c r="P40" s="561"/>
      <c r="Q40" s="562"/>
      <c r="R40" s="563">
        <v>1</v>
      </c>
      <c r="S40" s="564" t="s">
        <v>111</v>
      </c>
      <c r="T40" s="565" t="s">
        <v>99</v>
      </c>
      <c r="U40" s="566" t="str">
        <f ca="1">OFFSET(U40,0,-1)</f>
        <v>2</v>
      </c>
      <c r="V40" s="567">
        <f ca="1">OFFSET(V40,0,-1)+1</f>
        <v>3</v>
      </c>
      <c r="W40" s="567">
        <f ca="1">OFFSET(W40,0,-1)+1</f>
        <v>4</v>
      </c>
      <c r="X40" s="567">
        <f ca="1">OFFSET(X40,0,-1)+1</f>
        <v>5</v>
      </c>
      <c r="Y40" s="567">
        <f ca="1">OFFSET(Y40,0,-1)+1</f>
        <v>6</v>
      </c>
      <c r="Z40" s="567">
        <f ca="1">OFFSET(Z40,0,-1)+1</f>
        <v>7</v>
      </c>
      <c r="AA40" s="567"/>
      <c r="AB40" s="567">
        <f ca="1">OFFSET(AB40,0,-2)+1</f>
        <v>8</v>
      </c>
      <c r="AC40" s="567">
        <f ca="1">OFFSET(AC40,0,-1)+1</f>
        <v>9</v>
      </c>
      <c r="AD40" s="567">
        <f ca="1">OFFSET(AD40,0,-1)+1</f>
        <v>10</v>
      </c>
      <c r="AE40" s="567">
        <f ca="1">OFFSET(AE40,0,-1)+1</f>
        <v>11</v>
      </c>
      <c r="AF40" s="567">
        <f ca="1">OFFSET(AF40,0,-1)+1</f>
        <v>12</v>
      </c>
      <c r="AG40" s="567">
        <f ca="1">OFFSET(AG40,0,-1)+1</f>
        <v>13</v>
      </c>
      <c r="AH40" s="567"/>
      <c r="AI40" s="567">
        <f ca="1">OFFSET(AI40,0,-2)+1</f>
        <v>14</v>
      </c>
      <c r="AJ40" s="566">
        <f ca="1">OFFSET(AJ40,0,-1)</f>
        <v>14</v>
      </c>
      <c r="AK40" s="567">
        <f ca="1">OFFSET(AK40,0,-1)+1</f>
        <v>15</v>
      </c>
      <c r="AL40" s="57"/>
      <c r="AM40" s="57"/>
      <c r="AN40" s="57"/>
      <c r="AO40" s="57"/>
      <c r="AP40" s="57"/>
    </row>
    <row r="41" ht="23.25" customHeight="1">
      <c r="A41" s="478" t="s">
        <v>254</v>
      </c>
      <c r="B41" s="478"/>
      <c r="C41" s="478"/>
      <c r="D41" s="478"/>
      <c r="E41" s="479">
        <v>1</v>
      </c>
      <c r="F41" s="478"/>
      <c r="G41" s="478"/>
      <c r="H41" s="478"/>
      <c r="I41" s="478"/>
      <c r="J41" s="478"/>
      <c r="K41" s="478"/>
      <c r="L41" s="480"/>
      <c r="M41" s="481"/>
      <c r="N41" s="481"/>
      <c r="O41" s="481"/>
      <c r="P41" s="60"/>
      <c r="Q41" s="142"/>
      <c r="R41" s="482"/>
      <c r="S41" s="483">
        <f>INDEX(PT_DIFFERENTIATION_NUM_NTAR,MATCH(A41,PT_DIFFERENTIATION_NTAR_ID,0))</f>
        <v>0</v>
      </c>
      <c r="T41" s="484" t="s">
        <v>125</v>
      </c>
      <c r="U41" s="485"/>
      <c r="V41" s="486"/>
      <c r="W41" s="487"/>
      <c r="X41" s="487"/>
      <c r="Y41" s="487"/>
      <c r="Z41" s="487"/>
      <c r="AA41" s="487"/>
      <c r="AB41" s="488"/>
      <c r="AC41" s="486" t="str">
        <f>INDEX(PT_DIFFERENTIATION_NTAR,MATCH(A41,PT_DIFFERENTIATION_NTAR_ID,0))</f>
        <v/>
      </c>
      <c r="AD41" s="487"/>
      <c r="AE41" s="487"/>
      <c r="AF41" s="487"/>
      <c r="AG41" s="487"/>
      <c r="AH41" s="487"/>
      <c r="AI41" s="487"/>
      <c r="AJ41" s="488"/>
      <c r="AK41"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8"/>
      <c r="AN41" s="128" t="str">
        <f t="shared" si="31"/>
        <v xml:space="preserve">Наименование тарифа</v>
      </c>
      <c r="AO41" s="128"/>
      <c r="AP41" s="128"/>
    </row>
    <row r="42" ht="23.25" customHeight="1">
      <c r="A42" s="478" t="s">
        <v>254</v>
      </c>
      <c r="B42" s="478" t="s">
        <v>255</v>
      </c>
      <c r="C42" s="478"/>
      <c r="D42" s="478"/>
      <c r="E42" s="490"/>
      <c r="F42" s="479">
        <v>1</v>
      </c>
      <c r="G42" s="478"/>
      <c r="H42" s="478"/>
      <c r="I42" s="478"/>
      <c r="J42" s="478"/>
      <c r="K42" s="478"/>
      <c r="L42" s="480"/>
      <c r="M42" s="481"/>
      <c r="N42" s="481"/>
      <c r="O42" s="481"/>
      <c r="P42" s="51"/>
      <c r="Q42" s="491"/>
      <c r="R42" s="492"/>
      <c r="S42" s="483" t="str">
        <f>INDEX(PT_DIFFERENTIATION_NUM_TER,MATCH(B42,PT_DIFFERENTIATION_TER_ID,0))</f>
        <v>.</v>
      </c>
      <c r="T42" s="493" t="s">
        <v>387</v>
      </c>
      <c r="U42" s="485"/>
      <c r="V42" s="486"/>
      <c r="W42" s="487"/>
      <c r="X42" s="487"/>
      <c r="Y42" s="487"/>
      <c r="Z42" s="487"/>
      <c r="AA42" s="487"/>
      <c r="AB42" s="488"/>
      <c r="AC42" s="486" t="str">
        <f>INDEX(PT_DIFFERENTIATION_TER,MATCH(B42,PT_DIFFERENTIATION_TER_ID,0))</f>
        <v/>
      </c>
      <c r="AD42" s="487"/>
      <c r="AE42" s="487"/>
      <c r="AF42" s="487"/>
      <c r="AG42" s="487"/>
      <c r="AH42" s="487"/>
      <c r="AI42" s="487"/>
      <c r="AJ42" s="488"/>
      <c r="AK42" s="489" t="s">
        <v>388</v>
      </c>
      <c r="AM42" s="128"/>
      <c r="AN42" s="128" t="str">
        <f t="shared" si="31"/>
        <v xml:space="preserve">Территория действия тарифа</v>
      </c>
      <c r="AO42" s="128"/>
      <c r="AP42" s="128"/>
    </row>
    <row r="43" ht="23.25" customHeight="1">
      <c r="A43" s="478" t="s">
        <v>254</v>
      </c>
      <c r="B43" s="478" t="s">
        <v>255</v>
      </c>
      <c r="C43" s="478" t="s">
        <v>256</v>
      </c>
      <c r="D43" s="478"/>
      <c r="E43" s="490"/>
      <c r="F43" s="490"/>
      <c r="G43" s="479">
        <v>1</v>
      </c>
      <c r="H43" s="478"/>
      <c r="I43" s="478"/>
      <c r="J43" s="478"/>
      <c r="K43" s="478"/>
      <c r="L43" s="480"/>
      <c r="M43" s="481"/>
      <c r="N43" s="481"/>
      <c r="O43" s="481"/>
      <c r="P43" s="494"/>
      <c r="Q43" s="491"/>
      <c r="R43" s="492"/>
      <c r="S43" s="483" t="str">
        <f>INDEX(PT_DIFFERENTIATION_NUM_CS,MATCH(C43,PT_DIFFERENTIATION_CS_ID,0))</f>
        <v>..</v>
      </c>
      <c r="T43" s="495" t="s">
        <v>504</v>
      </c>
      <c r="U43" s="485"/>
      <c r="V43" s="486"/>
      <c r="W43" s="487"/>
      <c r="X43" s="487"/>
      <c r="Y43" s="487"/>
      <c r="Z43" s="487"/>
      <c r="AA43" s="487"/>
      <c r="AB43" s="488"/>
      <c r="AC43" s="486" t="str">
        <f>INDEX(PT_DIFFERENTIATION_CS,MATCH(C43,PT_DIFFERENTIATION_CS_ID,0))</f>
        <v/>
      </c>
      <c r="AD43" s="487"/>
      <c r="AE43" s="487"/>
      <c r="AF43" s="487"/>
      <c r="AG43" s="487"/>
      <c r="AH43" s="487"/>
      <c r="AI43" s="487"/>
      <c r="AJ43" s="488"/>
      <c r="AK43" s="489" t="s">
        <v>505</v>
      </c>
      <c r="AM43" s="128"/>
      <c r="AN43" s="128" t="str">
        <f t="shared" si="31"/>
        <v xml:space="preserve">Наименование централизованной системы водоотведения</v>
      </c>
      <c r="AO43" s="128"/>
      <c r="AP43" s="128"/>
    </row>
    <row r="44" ht="23.25" customHeight="1">
      <c r="A44" s="478" t="s">
        <v>254</v>
      </c>
      <c r="B44" s="478" t="s">
        <v>255</v>
      </c>
      <c r="C44" s="478" t="s">
        <v>256</v>
      </c>
      <c r="D44" s="478" t="s">
        <v>508</v>
      </c>
      <c r="E44" s="490"/>
      <c r="F44" s="490"/>
      <c r="G44" s="490"/>
      <c r="H44" s="490"/>
      <c r="I44" s="167" t="str">
        <f>S43&amp;".1"</f>
        <v>...1</v>
      </c>
      <c r="J44" s="478"/>
      <c r="K44" s="478"/>
      <c r="L44" s="480"/>
      <c r="P44" s="131">
        <v>1</v>
      </c>
      <c r="Q44" s="131"/>
      <c r="R44" s="497"/>
      <c r="S44" s="483" t="str">
        <f>$I44</f>
        <v>...1</v>
      </c>
      <c r="T44" s="498" t="s">
        <v>473</v>
      </c>
      <c r="U44" s="485"/>
      <c r="V44" s="658"/>
      <c r="W44" s="659"/>
      <c r="X44" s="659"/>
      <c r="Y44" s="659"/>
      <c r="Z44" s="659"/>
      <c r="AA44" s="659"/>
      <c r="AB44" s="660"/>
      <c r="AC44" s="661"/>
      <c r="AD44" s="662"/>
      <c r="AE44" s="662"/>
      <c r="AF44" s="662"/>
      <c r="AG44" s="662"/>
      <c r="AH44" s="662"/>
      <c r="AI44" s="662"/>
      <c r="AJ44" s="663"/>
      <c r="AK44" s="489" t="s">
        <v>474</v>
      </c>
      <c r="AM44" s="128"/>
      <c r="AN44" s="128" t="str">
        <f t="shared" si="31"/>
        <v xml:space="preserve">Наименование признака дифференциации</v>
      </c>
      <c r="AO44" s="128"/>
      <c r="AP44" s="128"/>
    </row>
    <row r="45" ht="23.25" customHeight="1">
      <c r="A45" s="478" t="s">
        <v>254</v>
      </c>
      <c r="B45" s="478" t="s">
        <v>255</v>
      </c>
      <c r="C45" s="478" t="s">
        <v>256</v>
      </c>
      <c r="D45" s="478" t="s">
        <v>508</v>
      </c>
      <c r="E45" s="490"/>
      <c r="F45" s="490"/>
      <c r="G45" s="490"/>
      <c r="H45" s="490"/>
      <c r="I45" s="501"/>
      <c r="J45" s="167" t="str">
        <f>I44&amp;".1"</f>
        <v>...1.1</v>
      </c>
      <c r="K45" s="478"/>
      <c r="L45" s="480" t="s">
        <v>396</v>
      </c>
      <c r="P45" s="131"/>
      <c r="Q45" s="131">
        <v>1</v>
      </c>
      <c r="R45" s="502"/>
      <c r="S45" s="483" t="str">
        <f>$J45</f>
        <v>...1.1</v>
      </c>
      <c r="T45" s="503" t="s">
        <v>397</v>
      </c>
      <c r="U45" s="485"/>
      <c r="V45" s="430"/>
      <c r="W45" s="499"/>
      <c r="X45" s="499"/>
      <c r="Y45" s="499"/>
      <c r="Z45" s="499"/>
      <c r="AA45" s="499"/>
      <c r="AB45" s="500"/>
      <c r="AC45" s="430"/>
      <c r="AD45" s="499"/>
      <c r="AE45" s="499"/>
      <c r="AF45" s="499"/>
      <c r="AG45" s="499"/>
      <c r="AH45" s="499"/>
      <c r="AI45" s="499"/>
      <c r="AJ45" s="500"/>
      <c r="AK45" s="593" t="s">
        <v>475</v>
      </c>
      <c r="AM45" s="128"/>
      <c r="AN45" s="128" t="str">
        <f t="shared" si="31"/>
        <v xml:space="preserve">Группа потребителей</v>
      </c>
      <c r="AO45" s="128"/>
      <c r="AP45" s="128"/>
    </row>
    <row r="46" ht="23.25" customHeight="1">
      <c r="A46" s="478" t="s">
        <v>254</v>
      </c>
      <c r="B46" s="478" t="s">
        <v>255</v>
      </c>
      <c r="C46" s="478" t="s">
        <v>256</v>
      </c>
      <c r="D46" s="478" t="s">
        <v>508</v>
      </c>
      <c r="E46" s="490"/>
      <c r="F46" s="490"/>
      <c r="G46" s="490"/>
      <c r="H46" s="490"/>
      <c r="I46" s="501"/>
      <c r="J46" s="501"/>
      <c r="K46" s="167" t="str">
        <f>J45&amp;".1"</f>
        <v>...1.1.1</v>
      </c>
      <c r="L46" s="480"/>
      <c r="P46" s="131"/>
      <c r="Q46" s="131"/>
      <c r="R46" s="502">
        <v>1</v>
      </c>
      <c r="S46" s="483" t="str">
        <f>$K46</f>
        <v>...1.1.1</v>
      </c>
      <c r="T46" s="664"/>
      <c r="U46" s="485"/>
      <c r="V46" s="531"/>
      <c r="W46" s="531"/>
      <c r="X46" s="532"/>
      <c r="Y46" s="533"/>
      <c r="Z46" s="534" t="s">
        <v>56</v>
      </c>
      <c r="AA46" s="533"/>
      <c r="AB46" s="534" t="s">
        <v>56</v>
      </c>
      <c r="AC46" s="505"/>
      <c r="AD46" s="505"/>
      <c r="AE46" s="507"/>
      <c r="AF46" s="508"/>
      <c r="AG46" s="225" t="s">
        <v>56</v>
      </c>
      <c r="AH46" s="568"/>
      <c r="AI46" s="225" t="s">
        <v>54</v>
      </c>
      <c r="AJ46" s="665"/>
      <c r="AK46"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8"/>
      <c r="AN46" s="128" t="str">
        <f t="shared" si="31"/>
        <v/>
      </c>
      <c r="AO46" s="128"/>
      <c r="AP46" s="128"/>
    </row>
    <row r="47" ht="0" customHeight="1">
      <c r="A47" s="478" t="s">
        <v>254</v>
      </c>
      <c r="B47" s="478" t="s">
        <v>255</v>
      </c>
      <c r="C47" s="478" t="s">
        <v>256</v>
      </c>
      <c r="D47" s="478" t="s">
        <v>508</v>
      </c>
      <c r="E47" s="490"/>
      <c r="F47" s="490"/>
      <c r="G47" s="490"/>
      <c r="H47" s="490"/>
      <c r="I47" s="501"/>
      <c r="J47" s="501"/>
      <c r="K47" s="167"/>
      <c r="L47" s="480"/>
      <c r="P47" s="131"/>
      <c r="Q47" s="131"/>
      <c r="R47" s="502"/>
      <c r="S47" s="457"/>
      <c r="T47" s="485"/>
      <c r="U47" s="485"/>
      <c r="V47" s="531"/>
      <c r="W47" s="531"/>
      <c r="X47" s="510" t="str">
        <f>Y46&amp;"-"&amp;AA46</f>
        <v>-</v>
      </c>
      <c r="Y47" s="534"/>
      <c r="Z47" s="534"/>
      <c r="AA47" s="534"/>
      <c r="AB47" s="534"/>
      <c r="AC47" s="506"/>
      <c r="AD47" s="506"/>
      <c r="AE47" s="510" t="str">
        <f>AF46&amp;"-"&amp;AH46</f>
        <v>-</v>
      </c>
      <c r="AF47" s="511"/>
      <c r="AG47" s="225"/>
      <c r="AH47" s="570"/>
      <c r="AI47" s="225"/>
      <c r="AJ47" s="667"/>
      <c r="AK47" s="666"/>
      <c r="AM47" s="128"/>
      <c r="AN47" s="128" t="str">
        <f t="shared" si="31"/>
        <v/>
      </c>
      <c r="AO47" s="128"/>
      <c r="AP47" s="128"/>
    </row>
    <row r="48" ht="21" customHeight="1">
      <c r="A48" s="478" t="s">
        <v>254</v>
      </c>
      <c r="B48" s="478" t="s">
        <v>255</v>
      </c>
      <c r="C48" s="478" t="s">
        <v>256</v>
      </c>
      <c r="D48" s="478" t="s">
        <v>508</v>
      </c>
      <c r="E48" s="490"/>
      <c r="F48" s="490"/>
      <c r="G48" s="490"/>
      <c r="H48" s="490"/>
      <c r="I48" s="501"/>
      <c r="J48" s="167"/>
      <c r="K48" s="478"/>
      <c r="L48" s="480"/>
      <c r="P48" s="131"/>
      <c r="Q48" s="131"/>
      <c r="R48" s="497"/>
      <c r="S48" s="513"/>
      <c r="T48" s="517" t="s">
        <v>476</v>
      </c>
      <c r="U48" s="215"/>
      <c r="V48" s="215"/>
      <c r="W48" s="215"/>
      <c r="X48" s="215"/>
      <c r="Y48" s="215"/>
      <c r="Z48" s="215"/>
      <c r="AA48" s="215"/>
      <c r="AB48" s="215"/>
      <c r="AC48" s="215"/>
      <c r="AD48" s="215"/>
      <c r="AE48" s="215"/>
      <c r="AF48" s="215"/>
      <c r="AG48" s="215"/>
      <c r="AH48" s="215"/>
      <c r="AI48" s="215"/>
      <c r="AJ48" s="215"/>
      <c r="AK48" s="489" t="s">
        <v>477</v>
      </c>
      <c r="AM48" s="128"/>
      <c r="AN48" s="128" t="str">
        <f t="shared" si="31"/>
        <v xml:space="preserve">Добавить значение признака дифференциации</v>
      </c>
      <c r="AO48" s="128"/>
      <c r="AP48" s="128"/>
    </row>
    <row r="49" ht="21" customHeight="1">
      <c r="A49" s="478" t="s">
        <v>254</v>
      </c>
      <c r="B49" s="478" t="s">
        <v>255</v>
      </c>
      <c r="C49" s="478" t="s">
        <v>256</v>
      </c>
      <c r="D49" s="478" t="s">
        <v>508</v>
      </c>
      <c r="E49" s="490"/>
      <c r="F49" s="490"/>
      <c r="G49" s="490"/>
      <c r="H49" s="490"/>
      <c r="I49" s="167"/>
      <c r="J49" s="478"/>
      <c r="K49" s="478"/>
      <c r="L49" s="480"/>
      <c r="P49" s="131"/>
      <c r="Q49" s="131"/>
      <c r="R49" s="497"/>
      <c r="S49" s="513"/>
      <c r="T49" s="521" t="s">
        <v>402</v>
      </c>
      <c r="U49" s="215"/>
      <c r="V49" s="215"/>
      <c r="W49" s="215"/>
      <c r="X49" s="215"/>
      <c r="Y49" s="215"/>
      <c r="Z49" s="215"/>
      <c r="AA49" s="215"/>
      <c r="AB49" s="518"/>
      <c r="AC49" s="215"/>
      <c r="AD49" s="215"/>
      <c r="AE49" s="215"/>
      <c r="AF49" s="215"/>
      <c r="AG49" s="215"/>
      <c r="AH49" s="215"/>
      <c r="AI49" s="518"/>
      <c r="AJ49" s="215"/>
      <c r="AK49" s="668"/>
      <c r="AM49" s="128"/>
      <c r="AN49" s="128" t="str">
        <f t="shared" si="31"/>
        <v xml:space="preserve">Добавить группу потребителей</v>
      </c>
      <c r="AO49" s="128"/>
      <c r="AP49" s="128"/>
    </row>
    <row r="50" ht="21" customHeight="1">
      <c r="A50" s="478" t="s">
        <v>254</v>
      </c>
      <c r="B50" s="478" t="s">
        <v>255</v>
      </c>
      <c r="C50" s="478" t="s">
        <v>256</v>
      </c>
      <c r="D50" s="478" t="s">
        <v>508</v>
      </c>
      <c r="E50" s="490"/>
      <c r="F50" s="490"/>
      <c r="G50" s="490"/>
      <c r="H50" s="479"/>
      <c r="I50" s="478"/>
      <c r="J50" s="478"/>
      <c r="K50" s="478"/>
      <c r="L50" s="480"/>
      <c r="M50" s="481"/>
      <c r="N50" s="481"/>
      <c r="O50" s="53"/>
      <c r="P50" s="142"/>
      <c r="Q50" s="520"/>
      <c r="R50" s="482"/>
      <c r="S50" s="513"/>
      <c r="T50" s="669" t="s">
        <v>478</v>
      </c>
      <c r="U50" s="215"/>
      <c r="V50" s="215"/>
      <c r="W50" s="215"/>
      <c r="X50" s="215"/>
      <c r="Y50" s="215"/>
      <c r="Z50" s="215"/>
      <c r="AA50" s="215"/>
      <c r="AB50" s="518"/>
      <c r="AC50" s="215"/>
      <c r="AD50" s="215"/>
      <c r="AE50" s="215"/>
      <c r="AF50" s="215"/>
      <c r="AG50" s="215"/>
      <c r="AH50" s="215"/>
      <c r="AI50" s="518"/>
      <c r="AJ50" s="215"/>
      <c r="AK50" s="519"/>
      <c r="AM50" s="128"/>
      <c r="AN50" s="128" t="str">
        <f t="shared" si="31"/>
        <v xml:space="preserve">Добавить наименование признака дифференциации</v>
      </c>
      <c r="AO50" s="128"/>
      <c r="AP50" s="128"/>
    </row>
    <row r="51" s="57" customFormat="1" ht="0" customHeight="1">
      <c r="A51" s="132" t="s">
        <v>254</v>
      </c>
      <c r="B51" s="132" t="s">
        <v>255</v>
      </c>
      <c r="C51" s="132"/>
      <c r="D51" s="132"/>
      <c r="E51" s="490"/>
      <c r="F51" s="479"/>
      <c r="G51" s="132"/>
      <c r="H51" s="132"/>
      <c r="I51" s="132"/>
      <c r="J51" s="132"/>
      <c r="K51" s="132"/>
      <c r="L51" s="213"/>
      <c r="M51" s="526"/>
      <c r="N51" s="526"/>
      <c r="P51" s="166"/>
      <c r="Q51" s="522"/>
      <c r="R51" s="166"/>
      <c r="S51" s="527"/>
      <c r="T51" s="530" t="s">
        <v>405</v>
      </c>
      <c r="U51" s="529"/>
      <c r="V51" s="529"/>
      <c r="W51" s="529"/>
      <c r="X51" s="529"/>
      <c r="Y51" s="529"/>
      <c r="Z51" s="529"/>
      <c r="AA51" s="529"/>
      <c r="AB51" s="529"/>
      <c r="AC51" s="529"/>
      <c r="AD51" s="529"/>
      <c r="AE51" s="529"/>
      <c r="AF51" s="529"/>
      <c r="AG51" s="529"/>
      <c r="AH51" s="529"/>
      <c r="AI51" s="529"/>
      <c r="AJ51" s="529"/>
      <c r="AK51" s="529"/>
      <c r="AM51" s="128"/>
      <c r="AN51" s="128" t="str">
        <f t="shared" si="31"/>
        <v xml:space="preserve">Добавить централизованную систему для дифференциации</v>
      </c>
      <c r="AO51" s="128"/>
      <c r="AP51" s="128"/>
    </row>
    <row r="52" s="57" customFormat="1" ht="0" customHeight="1">
      <c r="A52" s="132" t="s">
        <v>254</v>
      </c>
      <c r="B52" s="132"/>
      <c r="C52" s="132"/>
      <c r="D52" s="132"/>
      <c r="E52" s="479"/>
      <c r="F52" s="132"/>
      <c r="G52" s="132"/>
      <c r="H52" s="132"/>
      <c r="I52" s="132"/>
      <c r="J52" s="132"/>
      <c r="K52" s="132"/>
      <c r="L52" s="213"/>
      <c r="M52" s="526"/>
      <c r="N52" s="526"/>
      <c r="O52" s="57"/>
      <c r="P52" s="166"/>
      <c r="Q52" s="522"/>
      <c r="R52" s="166"/>
      <c r="S52" s="527"/>
      <c r="T52" s="530" t="s">
        <v>406</v>
      </c>
      <c r="U52" s="529"/>
      <c r="V52" s="529"/>
      <c r="W52" s="529"/>
      <c r="X52" s="529"/>
      <c r="Y52" s="529"/>
      <c r="Z52" s="529"/>
      <c r="AA52" s="529"/>
      <c r="AB52" s="529"/>
      <c r="AC52" s="529"/>
      <c r="AD52" s="529"/>
      <c r="AE52" s="529"/>
      <c r="AF52" s="529"/>
      <c r="AG52" s="529"/>
      <c r="AH52" s="529"/>
      <c r="AI52" s="529"/>
      <c r="AJ52" s="529"/>
      <c r="AK52" s="529"/>
      <c r="AM52" s="128"/>
      <c r="AN52" s="128" t="str">
        <f t="shared" si="31"/>
        <v xml:space="preserve">Добавить территорию для дифференциации</v>
      </c>
      <c r="AO52" s="128"/>
      <c r="AP52" s="128"/>
    </row>
    <row r="53" s="57" customFormat="1" ht="0" customHeight="1">
      <c r="A53" s="132"/>
      <c r="B53" s="132"/>
      <c r="C53" s="132"/>
      <c r="D53" s="132"/>
      <c r="E53" s="132"/>
      <c r="F53" s="132"/>
      <c r="G53" s="132"/>
      <c r="H53" s="132"/>
      <c r="I53" s="132"/>
      <c r="J53" s="132"/>
      <c r="K53" s="132"/>
      <c r="L53" s="213"/>
      <c r="M53" s="526"/>
      <c r="N53" s="526"/>
      <c r="P53" s="166"/>
      <c r="Q53" s="522"/>
      <c r="R53" s="166"/>
      <c r="S53" s="527"/>
      <c r="T53" s="530" t="s">
        <v>438</v>
      </c>
      <c r="U53" s="529"/>
      <c r="V53" s="529"/>
      <c r="W53" s="529"/>
      <c r="X53" s="529"/>
      <c r="Y53" s="529"/>
      <c r="Z53" s="529"/>
      <c r="AA53" s="529"/>
      <c r="AB53" s="529"/>
      <c r="AC53" s="529"/>
      <c r="AD53" s="529"/>
      <c r="AE53" s="529"/>
      <c r="AF53" s="529"/>
      <c r="AG53" s="529"/>
      <c r="AH53" s="529"/>
      <c r="AI53" s="529"/>
      <c r="AJ53" s="529"/>
      <c r="AK53" s="529"/>
      <c r="AM53" s="128"/>
      <c r="AN53" s="128" t="str">
        <f t="shared" si="31"/>
        <v xml:space="preserve">Добавить наименование тарифа</v>
      </c>
      <c r="AO53" s="128"/>
      <c r="AP53" s="128"/>
    </row>
    <row r="54" ht="11.25" customHeight="1">
      <c r="M54" s="53"/>
      <c r="N54" s="53"/>
      <c r="O54" s="53"/>
      <c r="P54" s="50"/>
      <c r="Q54" s="50"/>
      <c r="R54" s="50"/>
      <c r="S54" s="50"/>
      <c r="AL54" s="50"/>
      <c r="AM54" s="50"/>
      <c r="AN54" s="50"/>
      <c r="AO54" s="50"/>
      <c r="AP54" s="50"/>
    </row>
    <row r="55" ht="14.25" customHeight="1">
      <c r="O55" s="53"/>
      <c r="S55" s="475"/>
      <c r="T55" s="572"/>
      <c r="U55" s="572"/>
      <c r="V55" s="572"/>
      <c r="W55" s="572"/>
      <c r="X55" s="572"/>
      <c r="Y55" s="572"/>
      <c r="Z55" s="572"/>
      <c r="AA55" s="572"/>
      <c r="AB55" s="572"/>
      <c r="AC55" s="572"/>
      <c r="AD55" s="572"/>
      <c r="AE55" s="572"/>
      <c r="AF55" s="572"/>
      <c r="AG55" s="572"/>
      <c r="AH55" s="572"/>
      <c r="AI55" s="572"/>
      <c r="AJ55" s="572"/>
      <c r="AK55" s="572"/>
    </row>
    <row r="56" ht="14.25" customHeight="1">
      <c r="O56" s="53"/>
    </row>
    <row r="57" ht="14.25" customHeight="1">
      <c r="O57" s="53"/>
      <c r="S57" s="475"/>
      <c r="T57" s="572"/>
      <c r="U57" s="572"/>
      <c r="V57" s="572"/>
      <c r="W57" s="572"/>
      <c r="X57" s="572"/>
      <c r="Y57" s="572"/>
      <c r="Z57" s="572"/>
      <c r="AA57" s="572"/>
      <c r="AB57" s="572"/>
      <c r="AC57" s="572"/>
      <c r="AD57" s="572"/>
      <c r="AE57" s="572"/>
      <c r="AF57" s="572"/>
      <c r="AG57" s="572"/>
      <c r="AH57" s="572"/>
      <c r="AI57" s="572"/>
      <c r="AJ57" s="572"/>
      <c r="AK57" s="572"/>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0E00D1-0060-47BB-B07F-009800C8005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1B00EA-00B2-4802-8D00-002C00660098}"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A600B4-002A-478D-B76A-0038007C00EC}"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C000AB-0074-424F-9DEF-002E0066000A}"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7109375"/>
    <col customWidth="1" min="17" max="18" style="477" width="3.7109375"/>
    <col customWidth="1" min="19" max="19" style="322" width="12.7109375"/>
    <col customWidth="1" min="20" max="20" style="50" width="35.710937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31" style="50" width="24.7109375"/>
    <col customWidth="1" min="32" max="32" style="50" width="11.7109375"/>
    <col customWidth="1" min="33" max="33" style="50" width="3.7109375"/>
    <col customWidth="1" min="34" max="34" style="50" width="11.7109375"/>
    <col customWidth="1" hidden="1" min="35" max="35" style="50" width="8.57421875"/>
    <col customWidth="1" min="36" max="36" style="50" width="4.7109375"/>
    <col customWidth="1" min="37" max="37" style="50" width="115.7109375"/>
    <col min="38" max="39" style="57" width="10.57421875"/>
    <col customWidth="1" min="40" max="40" style="57" width="11.140625"/>
    <col min="41" max="42" style="57" width="10.57421875"/>
  </cols>
  <sheetData>
    <row r="1" ht="14.25" hidden="1" customHeight="1">
      <c r="X1" s="50"/>
      <c r="Y1" s="50"/>
      <c r="AE1" s="50"/>
      <c r="AF1" s="50"/>
    </row>
    <row r="2" ht="23.25"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8"/>
      <c r="AC2" s="486" t="e">
        <f>INDEX(PT_DIFFERENTIATION_NTAR,MATCH(A2,PT_DIFFERENTIATION_NTAR_ID,0))</f>
        <v>#VALUE!</v>
      </c>
      <c r="AD2" s="487"/>
      <c r="AE2" s="487"/>
      <c r="AF2" s="487"/>
      <c r="AG2" s="487"/>
      <c r="AH2" s="487"/>
      <c r="AI2" s="487"/>
      <c r="AJ2" s="488"/>
      <c r="AK2"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8"/>
      <c r="AN2" s="128" t="str">
        <f t="shared" ref="AN2:AN9" si="32">IF(T2="","",T2)</f>
        <v xml:space="preserve">Наименование тарифа</v>
      </c>
      <c r="AO2" s="128"/>
      <c r="AP2" s="128"/>
    </row>
    <row r="3" ht="23.25"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8"/>
      <c r="AC3" s="486" t="e">
        <f>INDEX(PT_DIFFERENTIATION_TER,MATCH(B3,PT_DIFFERENTIATION_TER_ID,0))</f>
        <v>#VALUE!</v>
      </c>
      <c r="AD3" s="487"/>
      <c r="AE3" s="487"/>
      <c r="AF3" s="487"/>
      <c r="AG3" s="487"/>
      <c r="AH3" s="487"/>
      <c r="AI3" s="487"/>
      <c r="AJ3" s="488"/>
      <c r="AK3" s="489" t="s">
        <v>388</v>
      </c>
      <c r="AM3" s="128"/>
      <c r="AN3" s="128" t="str">
        <f t="shared" si="32"/>
        <v xml:space="preserve">Территория действия тарифа</v>
      </c>
      <c r="AO3" s="128"/>
      <c r="AP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504</v>
      </c>
      <c r="U4" s="485"/>
      <c r="V4" s="486"/>
      <c r="W4" s="487"/>
      <c r="X4" s="487"/>
      <c r="Y4" s="487"/>
      <c r="Z4" s="487"/>
      <c r="AA4" s="487"/>
      <c r="AB4" s="488"/>
      <c r="AC4" s="486" t="e">
        <f>INDEX(PT_DIFFERENTIATION_CS,MATCH(C4,PT_DIFFERENTIATION_CS_ID,0))</f>
        <v>#VALUE!</v>
      </c>
      <c r="AD4" s="487"/>
      <c r="AE4" s="487"/>
      <c r="AF4" s="487"/>
      <c r="AG4" s="487"/>
      <c r="AH4" s="487"/>
      <c r="AI4" s="487"/>
      <c r="AJ4" s="488"/>
      <c r="AK4" s="489" t="s">
        <v>505</v>
      </c>
      <c r="AM4" s="128"/>
      <c r="AN4" s="128" t="str">
        <f t="shared" si="32"/>
        <v xml:space="preserve">Наименование централизованной системы водоотведения</v>
      </c>
      <c r="AO4" s="128"/>
      <c r="AP4" s="128"/>
    </row>
    <row r="5" ht="23.25" hidden="1" customHeight="1">
      <c r="A5" s="478"/>
      <c r="B5" s="478"/>
      <c r="C5" s="478"/>
      <c r="D5" s="478"/>
      <c r="E5" s="490"/>
      <c r="F5" s="490"/>
      <c r="G5" s="490"/>
      <c r="H5" s="490"/>
      <c r="I5" s="167" t="e">
        <f>S4&amp;".1"</f>
        <v>#VALUE!</v>
      </c>
      <c r="J5" s="478"/>
      <c r="K5" s="478"/>
      <c r="L5" s="480"/>
      <c r="P5" s="131">
        <v>1</v>
      </c>
      <c r="Q5" s="131"/>
      <c r="R5" s="497"/>
      <c r="S5" s="483" t="e">
        <f>$I5</f>
        <v>#VALUE!</v>
      </c>
      <c r="T5" s="498" t="s">
        <v>473</v>
      </c>
      <c r="U5" s="485"/>
      <c r="V5" s="658"/>
      <c r="W5" s="659"/>
      <c r="X5" s="659"/>
      <c r="Y5" s="659"/>
      <c r="Z5" s="659"/>
      <c r="AA5" s="659"/>
      <c r="AB5" s="660"/>
      <c r="AC5" s="661"/>
      <c r="AD5" s="662"/>
      <c r="AE5" s="662"/>
      <c r="AF5" s="662"/>
      <c r="AG5" s="662"/>
      <c r="AH5" s="662"/>
      <c r="AI5" s="662"/>
      <c r="AJ5" s="663"/>
      <c r="AK5" s="489" t="s">
        <v>474</v>
      </c>
      <c r="AM5" s="128"/>
      <c r="AN5" s="128" t="str">
        <f t="shared" si="32"/>
        <v xml:space="preserve">Наименование признака дифференциации</v>
      </c>
      <c r="AO5" s="128"/>
      <c r="AP5" s="128"/>
    </row>
    <row r="6" ht="23.25" hidden="1" customHeight="1">
      <c r="A6" s="478"/>
      <c r="B6" s="478"/>
      <c r="C6" s="478"/>
      <c r="D6" s="478"/>
      <c r="E6" s="490"/>
      <c r="F6" s="490"/>
      <c r="G6" s="490"/>
      <c r="H6" s="490"/>
      <c r="I6" s="501"/>
      <c r="J6" s="167" t="e">
        <f>I5&amp;".1"</f>
        <v>#VALUE!</v>
      </c>
      <c r="K6" s="478"/>
      <c r="L6" s="480" t="s">
        <v>396</v>
      </c>
      <c r="P6" s="131"/>
      <c r="Q6" s="131">
        <v>1</v>
      </c>
      <c r="R6" s="502"/>
      <c r="S6" s="483" t="e">
        <f>$J6</f>
        <v>#VALUE!</v>
      </c>
      <c r="T6" s="503" t="s">
        <v>397</v>
      </c>
      <c r="U6" s="485"/>
      <c r="V6" s="430"/>
      <c r="W6" s="499"/>
      <c r="X6" s="499"/>
      <c r="Y6" s="499"/>
      <c r="Z6" s="499"/>
      <c r="AA6" s="499"/>
      <c r="AB6" s="500"/>
      <c r="AC6" s="430"/>
      <c r="AD6" s="499"/>
      <c r="AE6" s="499"/>
      <c r="AF6" s="499"/>
      <c r="AG6" s="499"/>
      <c r="AH6" s="499"/>
      <c r="AI6" s="499"/>
      <c r="AJ6" s="500"/>
      <c r="AK6" s="593" t="s">
        <v>475</v>
      </c>
      <c r="AM6" s="128"/>
      <c r="AN6" s="128" t="str">
        <f t="shared" si="32"/>
        <v xml:space="preserve">Группа потребителей</v>
      </c>
      <c r="AO6" s="128"/>
      <c r="AP6" s="128"/>
    </row>
    <row r="7" ht="23.25" hidden="1" customHeight="1">
      <c r="A7" s="478"/>
      <c r="B7" s="478"/>
      <c r="C7" s="478"/>
      <c r="D7" s="478"/>
      <c r="E7" s="490"/>
      <c r="F7" s="490"/>
      <c r="G7" s="490"/>
      <c r="H7" s="490"/>
      <c r="I7" s="501"/>
      <c r="J7" s="501"/>
      <c r="K7" s="167" t="e">
        <f>J6&amp;".1"</f>
        <v>#VALUE!</v>
      </c>
      <c r="L7" s="480"/>
      <c r="P7" s="131"/>
      <c r="Q7" s="131"/>
      <c r="R7" s="502">
        <v>1</v>
      </c>
      <c r="S7" s="483" t="e">
        <f>$K7</f>
        <v>#VALUE!</v>
      </c>
      <c r="T7" s="664"/>
      <c r="U7" s="485"/>
      <c r="V7" s="505"/>
      <c r="W7" s="505"/>
      <c r="X7" s="507"/>
      <c r="Y7" s="508"/>
      <c r="Z7" s="225" t="s">
        <v>56</v>
      </c>
      <c r="AA7" s="508"/>
      <c r="AB7" s="225" t="s">
        <v>56</v>
      </c>
      <c r="AC7" s="505"/>
      <c r="AD7" s="505"/>
      <c r="AE7" s="507"/>
      <c r="AF7" s="508"/>
      <c r="AG7" s="225" t="s">
        <v>56</v>
      </c>
      <c r="AH7" s="568"/>
      <c r="AI7" s="225" t="s">
        <v>56</v>
      </c>
      <c r="AJ7" s="665"/>
      <c r="AK7"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8"/>
      <c r="AN7" s="128" t="str">
        <f t="shared" si="32"/>
        <v/>
      </c>
      <c r="AO7" s="128"/>
      <c r="AP7" s="128"/>
    </row>
    <row r="8" ht="14.25" hidden="1" customHeight="1">
      <c r="A8" s="478"/>
      <c r="B8" s="478"/>
      <c r="C8" s="478"/>
      <c r="D8" s="478"/>
      <c r="E8" s="490"/>
      <c r="F8" s="490"/>
      <c r="G8" s="490"/>
      <c r="H8" s="490"/>
      <c r="I8" s="501"/>
      <c r="J8" s="501"/>
      <c r="K8" s="167"/>
      <c r="L8" s="480"/>
      <c r="P8" s="131"/>
      <c r="Q8" s="131"/>
      <c r="R8" s="502"/>
      <c r="S8" s="457"/>
      <c r="T8" s="485"/>
      <c r="U8" s="485"/>
      <c r="V8" s="506"/>
      <c r="W8" s="506"/>
      <c r="X8" s="510" t="str">
        <f>Y7&amp;"-"&amp;AA7</f>
        <v>-</v>
      </c>
      <c r="Y8" s="511"/>
      <c r="Z8" s="225"/>
      <c r="AA8" s="511"/>
      <c r="AB8" s="225"/>
      <c r="AC8" s="506"/>
      <c r="AD8" s="506"/>
      <c r="AE8" s="510" t="str">
        <f>AF7&amp;"-"&amp;AH7</f>
        <v>-</v>
      </c>
      <c r="AF8" s="511"/>
      <c r="AG8" s="225"/>
      <c r="AH8" s="570"/>
      <c r="AI8" s="225"/>
      <c r="AJ8" s="667"/>
      <c r="AK8" s="666"/>
      <c r="AM8" s="128"/>
      <c r="AN8" s="128" t="str">
        <f t="shared" si="32"/>
        <v/>
      </c>
      <c r="AO8" s="128"/>
      <c r="AP8" s="128"/>
    </row>
    <row r="9" ht="21" hidden="1" customHeight="1">
      <c r="A9" s="478"/>
      <c r="B9" s="478"/>
      <c r="C9" s="478"/>
      <c r="D9" s="478"/>
      <c r="E9" s="490"/>
      <c r="F9" s="490"/>
      <c r="G9" s="490"/>
      <c r="H9" s="490"/>
      <c r="I9" s="501"/>
      <c r="J9" s="167"/>
      <c r="K9" s="478"/>
      <c r="L9" s="480"/>
      <c r="P9" s="131"/>
      <c r="Q9" s="131"/>
      <c r="R9" s="497"/>
      <c r="S9" s="513"/>
      <c r="T9" s="517" t="s">
        <v>476</v>
      </c>
      <c r="U9" s="215"/>
      <c r="V9" s="215"/>
      <c r="W9" s="215"/>
      <c r="X9" s="215"/>
      <c r="Y9" s="215"/>
      <c r="Z9" s="215"/>
      <c r="AA9" s="215"/>
      <c r="AB9" s="215"/>
      <c r="AC9" s="215"/>
      <c r="AD9" s="215"/>
      <c r="AE9" s="215"/>
      <c r="AF9" s="215"/>
      <c r="AG9" s="215"/>
      <c r="AH9" s="215"/>
      <c r="AI9" s="215"/>
      <c r="AJ9" s="215"/>
      <c r="AK9" s="489" t="s">
        <v>477</v>
      </c>
      <c r="AM9" s="128"/>
      <c r="AN9" s="128" t="str">
        <f t="shared" si="32"/>
        <v xml:space="preserve">Добавить значение признака дифференциации</v>
      </c>
      <c r="AO9" s="128"/>
      <c r="AP9" s="128"/>
    </row>
    <row r="10" ht="21" hidden="1" customHeight="1">
      <c r="A10" s="478"/>
      <c r="B10" s="478"/>
      <c r="C10" s="478"/>
      <c r="D10" s="478"/>
      <c r="E10" s="490"/>
      <c r="F10" s="490"/>
      <c r="G10" s="490"/>
      <c r="H10" s="490"/>
      <c r="I10" s="167"/>
      <c r="J10" s="478"/>
      <c r="K10" s="478"/>
      <c r="L10" s="480"/>
      <c r="P10" s="131"/>
      <c r="Q10" s="131"/>
      <c r="R10" s="497"/>
      <c r="S10" s="513"/>
      <c r="T10" s="521" t="s">
        <v>402</v>
      </c>
      <c r="U10" s="215"/>
      <c r="V10" s="215"/>
      <c r="W10" s="215"/>
      <c r="X10" s="215"/>
      <c r="Y10" s="215"/>
      <c r="Z10" s="215"/>
      <c r="AA10" s="215"/>
      <c r="AB10" s="518"/>
      <c r="AC10" s="215"/>
      <c r="AD10" s="215"/>
      <c r="AE10" s="215"/>
      <c r="AF10" s="215"/>
      <c r="AG10" s="215"/>
      <c r="AH10" s="215"/>
      <c r="AI10" s="518"/>
      <c r="AJ10" s="215"/>
      <c r="AK10" s="668"/>
      <c r="AM10" s="128"/>
      <c r="AN10" s="128" t="str">
        <f t="shared" ref="AN10:AN53" si="33">IF(T10="","",T10)</f>
        <v xml:space="preserve">Добавить группу потребителей</v>
      </c>
      <c r="AO10" s="128"/>
      <c r="AP10" s="128"/>
    </row>
    <row r="11" ht="21" hidden="1" customHeight="1">
      <c r="A11" s="478"/>
      <c r="B11" s="478"/>
      <c r="C11" s="478"/>
      <c r="D11" s="478"/>
      <c r="E11" s="490"/>
      <c r="F11" s="490"/>
      <c r="G11" s="490"/>
      <c r="H11" s="479"/>
      <c r="I11" s="478"/>
      <c r="J11" s="478"/>
      <c r="K11" s="478"/>
      <c r="L11" s="480"/>
      <c r="M11" s="481"/>
      <c r="N11" s="481"/>
      <c r="O11" s="53"/>
      <c r="P11" s="142"/>
      <c r="Q11" s="520"/>
      <c r="R11" s="482"/>
      <c r="S11" s="513"/>
      <c r="T11" s="669" t="s">
        <v>478</v>
      </c>
      <c r="U11" s="215"/>
      <c r="V11" s="215"/>
      <c r="W11" s="215"/>
      <c r="X11" s="215"/>
      <c r="Y11" s="215"/>
      <c r="Z11" s="215"/>
      <c r="AA11" s="215"/>
      <c r="AB11" s="518"/>
      <c r="AC11" s="215"/>
      <c r="AD11" s="215"/>
      <c r="AE11" s="215"/>
      <c r="AF11" s="215"/>
      <c r="AG11" s="215"/>
      <c r="AH11" s="215"/>
      <c r="AI11" s="518"/>
      <c r="AJ11" s="215"/>
      <c r="AK11" s="519"/>
      <c r="AM11" s="128"/>
      <c r="AN11" s="128" t="str">
        <f t="shared" si="33"/>
        <v xml:space="preserve">Добавить наименование признака дифференциации</v>
      </c>
      <c r="AO11" s="128"/>
      <c r="AP11" s="128"/>
    </row>
    <row r="12" s="57" customFormat="1" ht="14.25" hidden="1" customHeight="1">
      <c r="A12" s="132"/>
      <c r="B12" s="132"/>
      <c r="C12" s="132"/>
      <c r="D12" s="132"/>
      <c r="E12" s="490"/>
      <c r="F12" s="479"/>
      <c r="G12" s="132"/>
      <c r="H12" s="132"/>
      <c r="I12" s="132"/>
      <c r="J12" s="132"/>
      <c r="K12" s="132"/>
      <c r="L12" s="213"/>
      <c r="M12" s="526"/>
      <c r="N12" s="526"/>
      <c r="P12" s="166"/>
      <c r="Q12" s="522"/>
      <c r="R12" s="166"/>
      <c r="S12" s="527"/>
      <c r="T12" s="530" t="s">
        <v>405</v>
      </c>
      <c r="U12" s="529"/>
      <c r="V12" s="529"/>
      <c r="W12" s="529"/>
      <c r="X12" s="529"/>
      <c r="Y12" s="529"/>
      <c r="Z12" s="529"/>
      <c r="AA12" s="529"/>
      <c r="AB12" s="529"/>
      <c r="AC12" s="529"/>
      <c r="AD12" s="529"/>
      <c r="AE12" s="529"/>
      <c r="AF12" s="529"/>
      <c r="AG12" s="529"/>
      <c r="AH12" s="529"/>
      <c r="AI12" s="529"/>
      <c r="AJ12" s="529"/>
      <c r="AK12" s="529"/>
      <c r="AM12" s="128"/>
      <c r="AN12" s="128" t="str">
        <f t="shared" si="33"/>
        <v xml:space="preserve">Добавить централизованную систему для дифференциации</v>
      </c>
      <c r="AO12" s="128"/>
      <c r="AP12" s="128"/>
    </row>
    <row r="13" s="57" customFormat="1" ht="14.25" hidden="1" customHeight="1">
      <c r="A13" s="132"/>
      <c r="B13" s="132"/>
      <c r="C13" s="132"/>
      <c r="D13" s="132"/>
      <c r="E13" s="479"/>
      <c r="F13" s="132"/>
      <c r="G13" s="132"/>
      <c r="H13" s="132"/>
      <c r="I13" s="132"/>
      <c r="J13" s="132"/>
      <c r="K13" s="132"/>
      <c r="L13" s="213"/>
      <c r="M13" s="526"/>
      <c r="N13" s="526"/>
      <c r="O13" s="57"/>
      <c r="P13" s="166"/>
      <c r="Q13" s="522"/>
      <c r="R13" s="166"/>
      <c r="S13" s="527"/>
      <c r="T13" s="530" t="s">
        <v>406</v>
      </c>
      <c r="U13" s="529"/>
      <c r="V13" s="529"/>
      <c r="W13" s="529"/>
      <c r="X13" s="529"/>
      <c r="Y13" s="529"/>
      <c r="Z13" s="529"/>
      <c r="AA13" s="529"/>
      <c r="AB13" s="529"/>
      <c r="AC13" s="529"/>
      <c r="AD13" s="529"/>
      <c r="AE13" s="529"/>
      <c r="AF13" s="529"/>
      <c r="AG13" s="529"/>
      <c r="AH13" s="529"/>
      <c r="AI13" s="529"/>
      <c r="AJ13" s="529"/>
      <c r="AK13" s="529"/>
      <c r="AM13" s="128"/>
      <c r="AN13" s="128" t="str">
        <f t="shared" si="33"/>
        <v xml:space="preserve">Добавить территорию для дифференциации</v>
      </c>
      <c r="AO13" s="128"/>
      <c r="AP13" s="128"/>
    </row>
    <row r="14" ht="14.25" hidden="1" customHeight="1">
      <c r="AB14" s="50"/>
      <c r="AI14" s="50"/>
    </row>
    <row r="15" ht="14.25" hidden="1" customHeight="1">
      <c r="AC15" s="531"/>
      <c r="AD15" s="531"/>
      <c r="AE15" s="532"/>
      <c r="AF15" s="533"/>
      <c r="AG15" s="534" t="s">
        <v>56</v>
      </c>
      <c r="AH15" s="533"/>
      <c r="AI15" s="534" t="s">
        <v>56</v>
      </c>
    </row>
    <row r="16" ht="14.25" hidden="1" customHeight="1">
      <c r="AC16" s="531"/>
      <c r="AD16" s="531"/>
      <c r="AE16" s="510" t="str">
        <f>AF15&amp;"-"&amp;AH15</f>
        <v>-</v>
      </c>
      <c r="AF16" s="534"/>
      <c r="AG16" s="534"/>
      <c r="AH16" s="534"/>
      <c r="AI16" s="534"/>
    </row>
    <row r="17" ht="14.25" hidden="1" customHeight="1">
      <c r="AI17" s="50"/>
    </row>
    <row r="18" s="53" customFormat="1" ht="22.5" hidden="1" customHeight="1">
      <c r="L18" s="113"/>
      <c r="M18" s="61"/>
      <c r="N18" s="61"/>
      <c r="O18" s="535" t="s">
        <v>407</v>
      </c>
      <c r="P18" s="61"/>
      <c r="Q18" s="536"/>
      <c r="R18" s="536"/>
      <c r="S18" s="481"/>
      <c r="Y18" s="535"/>
      <c r="AA18" s="535"/>
      <c r="AB18" s="53"/>
      <c r="AF18" s="535"/>
      <c r="AH18" s="535"/>
      <c r="AI18" s="53"/>
      <c r="AL18" s="57"/>
      <c r="AM18" s="57"/>
      <c r="AN18" s="57"/>
      <c r="AO18" s="57"/>
      <c r="AP18" s="57"/>
    </row>
    <row r="19" s="53" customFormat="1" ht="14.25" hidden="1" customHeight="1">
      <c r="L19" s="113"/>
      <c r="M19" s="61"/>
      <c r="N19" s="61"/>
      <c r="O19" s="61"/>
      <c r="P19" s="61"/>
      <c r="Q19" s="536"/>
      <c r="R19" s="536"/>
      <c r="S19" s="481"/>
      <c r="AB19" s="53"/>
      <c r="AI19" s="53"/>
      <c r="AL19" s="57"/>
      <c r="AM19" s="57"/>
      <c r="AN19" s="57"/>
      <c r="AO19" s="57"/>
      <c r="AP19" s="57"/>
    </row>
    <row r="20" s="53" customFormat="1" ht="12" hidden="1" customHeight="1">
      <c r="L20" s="113"/>
      <c r="M20" s="61"/>
      <c r="N20" s="61"/>
      <c r="O20" s="480" t="s">
        <v>408</v>
      </c>
      <c r="P20" s="61"/>
      <c r="Q20" s="670"/>
      <c r="R20" s="670"/>
      <c r="S20" s="481"/>
      <c r="T20" s="53" t="s">
        <v>409</v>
      </c>
      <c r="Z20" s="150" t="s">
        <v>410</v>
      </c>
      <c r="AB20" s="150" t="s">
        <v>411</v>
      </c>
      <c r="AC20" s="53" t="s">
        <v>409</v>
      </c>
      <c r="AG20" s="150" t="s">
        <v>412</v>
      </c>
      <c r="AI20" s="150" t="s">
        <v>411</v>
      </c>
    </row>
    <row r="21" ht="14.25" hidden="1" customHeight="1">
      <c r="O21" s="480"/>
    </row>
    <row r="22" ht="14.25" hidden="1" customHeight="1">
      <c r="O22" s="480"/>
    </row>
    <row r="23" ht="14.25" customHeight="1">
      <c r="Q23" s="537"/>
      <c r="R23" s="537"/>
      <c r="S23" s="538"/>
      <c r="T23" s="89"/>
      <c r="U23" s="89"/>
      <c r="V23" s="50"/>
      <c r="W23" s="50"/>
      <c r="X23" s="50"/>
      <c r="Y23" s="50"/>
      <c r="Z23" s="50"/>
      <c r="AA23" s="50"/>
      <c r="AB23" s="50"/>
      <c r="AC23" s="50"/>
      <c r="AD23" s="50"/>
      <c r="AE23" s="50"/>
      <c r="AF23" s="50"/>
      <c r="AG23" s="50"/>
      <c r="AH23" s="50"/>
      <c r="AI23" s="50"/>
    </row>
    <row r="24" ht="14.25" customHeight="1">
      <c r="Q24" s="537"/>
      <c r="R24" s="537"/>
      <c r="S24" s="451"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51"/>
      <c r="U24" s="451"/>
      <c r="V24" s="451"/>
      <c r="W24" s="451"/>
      <c r="X24" s="451"/>
      <c r="Y24" s="451"/>
      <c r="Z24" s="451"/>
      <c r="AA24" s="451"/>
      <c r="AB24" s="451"/>
      <c r="AC24" s="451"/>
      <c r="AD24" s="451"/>
      <c r="AE24" s="451"/>
      <c r="AF24" s="451"/>
      <c r="AG24" s="451"/>
      <c r="AH24" s="451"/>
      <c r="AI24" s="241"/>
    </row>
    <row r="25" ht="14.25" customHeight="1">
      <c r="Q25" s="537"/>
      <c r="R25" s="537"/>
      <c r="S25" s="302" t="str">
        <f>IF(org=0,"Не определено",org)</f>
        <v xml:space="preserve">филиал ПАО "ОГК-2" - Адлерская ТЭС</v>
      </c>
      <c r="T25" s="302"/>
      <c r="U25" s="302"/>
      <c r="V25" s="302"/>
      <c r="W25" s="302"/>
      <c r="X25" s="302"/>
      <c r="Y25" s="302"/>
      <c r="Z25" s="302"/>
      <c r="AA25" s="302"/>
      <c r="AB25" s="302"/>
      <c r="AC25" s="302"/>
      <c r="AD25" s="302"/>
      <c r="AE25" s="302"/>
      <c r="AF25" s="302"/>
      <c r="AG25" s="302"/>
      <c r="AH25" s="302"/>
      <c r="AI25" s="241"/>
    </row>
    <row r="26" ht="14.25" hidden="1" customHeight="1">
      <c r="Q26" s="537"/>
      <c r="R26" s="537"/>
      <c r="S26" s="538"/>
      <c r="T26" s="89"/>
      <c r="U26" s="89"/>
      <c r="V26" s="539"/>
      <c r="W26" s="539"/>
      <c r="X26" s="539"/>
      <c r="Y26" s="539"/>
      <c r="Z26" s="539"/>
      <c r="AA26" s="539"/>
      <c r="AB26" s="539"/>
      <c r="AC26" s="539"/>
      <c r="AD26" s="539"/>
      <c r="AE26" s="539"/>
      <c r="AF26" s="539"/>
      <c r="AG26" s="539"/>
      <c r="AH26" s="539"/>
      <c r="AI26" s="539"/>
      <c r="AJ26" s="50"/>
    </row>
    <row r="27" s="185" customFormat="1" ht="25.5" hidden="1" customHeight="1">
      <c r="A27" s="150"/>
      <c r="B27" s="150"/>
      <c r="C27" s="150"/>
      <c r="D27" s="150"/>
      <c r="E27" s="150"/>
      <c r="F27" s="150"/>
      <c r="G27" s="150"/>
      <c r="H27" s="150"/>
      <c r="I27" s="150"/>
      <c r="J27" s="150"/>
      <c r="K27" s="150"/>
      <c r="L27" s="480"/>
      <c r="M27" s="150"/>
      <c r="N27" s="150"/>
      <c r="O27" s="150"/>
      <c r="S27" s="540" t="s">
        <v>38</v>
      </c>
      <c r="T27" s="540"/>
      <c r="U27" s="541"/>
      <c r="V27" s="542" t="str">
        <f>IF(TITLE_NAME_OR_PR_CHANGE="",IF(TITLE_NAME_OR_PR="","",TITLE_NAME_OR_PR),TITLE_NAME_OR_PR_CHANGE)</f>
        <v/>
      </c>
      <c r="W27" s="542"/>
      <c r="X27" s="542"/>
      <c r="Y27" s="542"/>
      <c r="Z27" s="542"/>
      <c r="AA27" s="542"/>
      <c r="AB27" s="50"/>
      <c r="AC27" s="542" t="str">
        <f>IF(TITLE_NAME_OR_PR_CHANGE="",IF(TITLE_NAME_OR_PR="","",TITLE_NAME_OR_PR),TITLE_NAME_OR_PR_CHANGE)</f>
        <v/>
      </c>
      <c r="AD27" s="542"/>
      <c r="AE27" s="542"/>
      <c r="AF27" s="542"/>
      <c r="AG27" s="542"/>
      <c r="AH27" s="542"/>
      <c r="AI27" s="50"/>
      <c r="AJ27" s="50"/>
      <c r="AK27" s="543"/>
      <c r="AL27" s="128"/>
      <c r="AM27" s="128"/>
      <c r="AN27" s="128"/>
      <c r="AO27" s="128"/>
      <c r="AP27" s="128"/>
    </row>
    <row r="28" s="185" customFormat="1" ht="18.75" hidden="1" customHeight="1">
      <c r="A28" s="150"/>
      <c r="B28" s="150"/>
      <c r="C28" s="150"/>
      <c r="D28" s="150"/>
      <c r="E28" s="150"/>
      <c r="F28" s="150"/>
      <c r="G28" s="150"/>
      <c r="H28" s="150"/>
      <c r="I28" s="150"/>
      <c r="J28" s="150"/>
      <c r="K28" s="150"/>
      <c r="L28" s="480"/>
      <c r="M28" s="150"/>
      <c r="N28" s="150"/>
      <c r="O28" s="150"/>
      <c r="S28" s="540" t="s">
        <v>413</v>
      </c>
      <c r="T28" s="540"/>
      <c r="U28" s="541"/>
      <c r="V28" s="544" t="str">
        <f>IF(TITLE_DATE_PR_CHANGE="",IF(TITLE_DATE_PR="","",TITLE_DATE_PR),TITLE_DATE_PR_CHANGE)</f>
        <v/>
      </c>
      <c r="W28" s="544"/>
      <c r="X28" s="544"/>
      <c r="Y28" s="544"/>
      <c r="Z28" s="544"/>
      <c r="AA28" s="544"/>
      <c r="AB28" s="50"/>
      <c r="AC28" s="544" t="str">
        <f>IF(TITLE_DATE_PR_CHANGE="",IF(TITLE_DATE_PR="","",TITLE_DATE_PR),TITLE_DATE_PR_CHANGE)</f>
        <v/>
      </c>
      <c r="AD28" s="544"/>
      <c r="AE28" s="544"/>
      <c r="AF28" s="544"/>
      <c r="AG28" s="544"/>
      <c r="AH28" s="544"/>
      <c r="AI28" s="50"/>
      <c r="AJ28" s="50"/>
      <c r="AK28" s="543"/>
      <c r="AL28" s="128"/>
      <c r="AM28" s="128"/>
      <c r="AN28" s="128"/>
      <c r="AO28" s="128"/>
      <c r="AP28" s="128"/>
    </row>
    <row r="29" s="185" customFormat="1" ht="18.75" hidden="1" customHeight="1">
      <c r="A29" s="150"/>
      <c r="B29" s="150"/>
      <c r="C29" s="150"/>
      <c r="D29" s="150"/>
      <c r="E29" s="150"/>
      <c r="F29" s="150"/>
      <c r="G29" s="150"/>
      <c r="H29" s="150"/>
      <c r="I29" s="150"/>
      <c r="J29" s="150"/>
      <c r="K29" s="150"/>
      <c r="L29" s="480"/>
      <c r="M29" s="150"/>
      <c r="N29" s="150"/>
      <c r="O29" s="150"/>
      <c r="S29" s="540" t="s">
        <v>414</v>
      </c>
      <c r="T29" s="540"/>
      <c r="U29" s="541"/>
      <c r="V29" s="542" t="str">
        <f>IF(TITLE_NUMBER_PR_CHANGE="",IF(TITLE_NUMBER_PR="","",TITLE_NUMBER_PR),TITLE_NUMBER_PR_CHANGE)</f>
        <v/>
      </c>
      <c r="W29" s="542"/>
      <c r="X29" s="542"/>
      <c r="Y29" s="542"/>
      <c r="Z29" s="542"/>
      <c r="AA29" s="542"/>
      <c r="AB29" s="50"/>
      <c r="AC29" s="542" t="str">
        <f>IF(TITLE_NUMBER_PR_CHANGE="",IF(TITLE_NUMBER_PR="","",TITLE_NUMBER_PR),TITLE_NUMBER_PR_CHANGE)</f>
        <v/>
      </c>
      <c r="AD29" s="542"/>
      <c r="AE29" s="542"/>
      <c r="AF29" s="542"/>
      <c r="AG29" s="542"/>
      <c r="AH29" s="542"/>
      <c r="AI29" s="50"/>
      <c r="AJ29" s="50"/>
      <c r="AK29" s="543"/>
      <c r="AL29" s="128"/>
      <c r="AM29" s="128"/>
      <c r="AN29" s="128"/>
      <c r="AO29" s="128"/>
      <c r="AP29" s="128"/>
    </row>
    <row r="30" s="185" customFormat="1" ht="18.75" hidden="1" customHeight="1">
      <c r="A30" s="150"/>
      <c r="B30" s="150"/>
      <c r="C30" s="150"/>
      <c r="D30" s="150"/>
      <c r="E30" s="150"/>
      <c r="F30" s="150"/>
      <c r="G30" s="150"/>
      <c r="H30" s="150"/>
      <c r="I30" s="150"/>
      <c r="J30" s="150"/>
      <c r="K30" s="150"/>
      <c r="L30" s="480"/>
      <c r="M30" s="150"/>
      <c r="N30" s="150"/>
      <c r="O30" s="150"/>
      <c r="S30" s="540" t="s">
        <v>39</v>
      </c>
      <c r="T30" s="540"/>
      <c r="U30" s="541"/>
      <c r="V30" s="542" t="str">
        <f>IF(TITLE_IST_PUB_CHANGE="",IF(TITLE_IST_PUB="","",TITLE_IST_PUB),TITLE_IST_PUB_CHANGE)</f>
        <v/>
      </c>
      <c r="W30" s="542"/>
      <c r="X30" s="542"/>
      <c r="Y30" s="542"/>
      <c r="Z30" s="542"/>
      <c r="AA30" s="542"/>
      <c r="AB30" s="50"/>
      <c r="AC30" s="542" t="str">
        <f>IF(TITLE_IST_PUB_CHANGE="",IF(TITLE_IST_PUB="","",TITLE_IST_PUB),TITLE_IST_PUB_CHANGE)</f>
        <v/>
      </c>
      <c r="AD30" s="542"/>
      <c r="AE30" s="542"/>
      <c r="AF30" s="542"/>
      <c r="AG30" s="542"/>
      <c r="AH30" s="542"/>
      <c r="AI30" s="50"/>
      <c r="AJ30" s="50"/>
      <c r="AK30" s="543"/>
      <c r="AL30" s="128"/>
      <c r="AM30" s="128"/>
      <c r="AN30" s="128"/>
      <c r="AO30" s="128"/>
      <c r="AP30" s="128"/>
    </row>
    <row r="31" ht="14.25" hidden="1" customHeight="1">
      <c r="Q31" s="537"/>
      <c r="R31" s="537"/>
      <c r="S31" s="538"/>
      <c r="T31" s="89"/>
      <c r="U31" s="89"/>
      <c r="V31" s="539"/>
      <c r="W31" s="539"/>
      <c r="X31" s="539"/>
      <c r="Y31" s="539"/>
      <c r="Z31" s="539"/>
      <c r="AA31" s="539"/>
      <c r="AB31" s="539"/>
      <c r="AC31" s="539"/>
      <c r="AD31" s="539"/>
      <c r="AE31" s="539"/>
      <c r="AF31" s="539"/>
      <c r="AG31" s="539"/>
      <c r="AH31" s="539"/>
      <c r="AI31" s="539"/>
      <c r="AJ31" s="50"/>
    </row>
    <row r="32" s="185" customFormat="1" ht="18.75" hidden="1" customHeight="1">
      <c r="A32" s="150"/>
      <c r="B32" s="150"/>
      <c r="C32" s="150"/>
      <c r="D32" s="150"/>
      <c r="E32" s="150"/>
      <c r="F32" s="150"/>
      <c r="G32" s="150"/>
      <c r="H32" s="150"/>
      <c r="I32" s="150"/>
      <c r="J32" s="150"/>
      <c r="K32" s="150"/>
      <c r="L32" s="480"/>
      <c r="M32" s="150"/>
      <c r="N32" s="150"/>
      <c r="O32" s="150"/>
      <c r="S32" s="540" t="s">
        <v>415</v>
      </c>
      <c r="T32" s="540"/>
      <c r="U32" s="541"/>
      <c r="V32" s="544" t="str">
        <f>IF(TITLE_DATE_PR_CHANGE="",IF(TITLE_DATE_PR="","",TITLE_DATE_PR),TITLE_DATE_PR_CHANGE)</f>
        <v/>
      </c>
      <c r="W32" s="544"/>
      <c r="X32" s="544"/>
      <c r="Y32" s="544"/>
      <c r="Z32" s="544"/>
      <c r="AA32" s="544"/>
      <c r="AB32" s="50"/>
      <c r="AC32" s="544" t="str">
        <f>IF(TITLE_DATE_PR_CHANGE="",IF(TITLE_DATE_PR="","",TITLE_DATE_PR),TITLE_DATE_PR_CHANGE)</f>
        <v/>
      </c>
      <c r="AD32" s="544"/>
      <c r="AE32" s="544"/>
      <c r="AF32" s="544"/>
      <c r="AG32" s="544"/>
      <c r="AH32" s="544"/>
      <c r="AI32" s="50"/>
      <c r="AJ32" s="50"/>
      <c r="AK32" s="543"/>
      <c r="AL32" s="128"/>
      <c r="AM32" s="128"/>
      <c r="AN32" s="128"/>
      <c r="AO32" s="128"/>
      <c r="AP32" s="128"/>
    </row>
    <row r="33" s="185" customFormat="1" ht="18.75" hidden="1" customHeight="1">
      <c r="A33" s="150"/>
      <c r="B33" s="150"/>
      <c r="C33" s="150"/>
      <c r="D33" s="150"/>
      <c r="E33" s="150"/>
      <c r="F33" s="150"/>
      <c r="G33" s="150"/>
      <c r="H33" s="150"/>
      <c r="I33" s="150"/>
      <c r="J33" s="150"/>
      <c r="K33" s="150"/>
      <c r="L33" s="480"/>
      <c r="M33" s="150"/>
      <c r="N33" s="150"/>
      <c r="O33" s="150"/>
      <c r="S33" s="540" t="s">
        <v>416</v>
      </c>
      <c r="T33" s="540"/>
      <c r="U33" s="541"/>
      <c r="V33" s="542" t="str">
        <f>IF(TITLE_NUMBER_PR_CHANGE="",IF(TITLE_NUMBER_PR="","",TITLE_NUMBER_PR),TITLE_NUMBER_PR_CHANGE)</f>
        <v/>
      </c>
      <c r="W33" s="542"/>
      <c r="X33" s="542"/>
      <c r="Y33" s="542"/>
      <c r="Z33" s="542"/>
      <c r="AA33" s="542"/>
      <c r="AB33" s="50"/>
      <c r="AC33" s="542" t="str">
        <f>IF(TITLE_NUMBER_PR_CHANGE="",IF(TITLE_NUMBER_PR="","",TITLE_NUMBER_PR),TITLE_NUMBER_PR_CHANGE)</f>
        <v/>
      </c>
      <c r="AD33" s="542"/>
      <c r="AE33" s="542"/>
      <c r="AF33" s="542"/>
      <c r="AG33" s="542"/>
      <c r="AH33" s="542"/>
      <c r="AI33" s="50"/>
      <c r="AJ33" s="50"/>
      <c r="AK33" s="543"/>
      <c r="AL33" s="128"/>
      <c r="AM33" s="128"/>
      <c r="AN33" s="128"/>
      <c r="AO33" s="128"/>
      <c r="AP33" s="128"/>
    </row>
    <row r="34" s="185" customFormat="1" ht="0.75" customHeight="1">
      <c r="A34" s="150"/>
      <c r="B34" s="150"/>
      <c r="C34" s="150"/>
      <c r="D34" s="150"/>
      <c r="E34" s="150"/>
      <c r="F34" s="150"/>
      <c r="G34" s="150"/>
      <c r="H34" s="150"/>
      <c r="I34" s="150"/>
      <c r="J34" s="150"/>
      <c r="K34" s="150"/>
      <c r="L34" s="480"/>
      <c r="M34" s="150"/>
      <c r="N34" s="150"/>
      <c r="O34" s="150"/>
      <c r="S34" s="50"/>
      <c r="T34" s="50"/>
      <c r="U34" s="139"/>
      <c r="V34" s="50"/>
      <c r="W34" s="50"/>
      <c r="X34" s="50"/>
      <c r="Y34" s="50"/>
      <c r="Z34" s="50"/>
      <c r="AA34" s="50"/>
      <c r="AB34" s="57" t="s">
        <v>417</v>
      </c>
      <c r="AC34" s="50"/>
      <c r="AD34" s="50"/>
      <c r="AE34" s="50"/>
      <c r="AF34" s="50"/>
      <c r="AG34" s="50"/>
      <c r="AH34" s="50"/>
      <c r="AI34" s="57" t="s">
        <v>417</v>
      </c>
      <c r="AL34" s="128"/>
      <c r="AM34" s="128"/>
      <c r="AN34" s="128"/>
      <c r="AO34" s="128"/>
      <c r="AP34" s="128"/>
    </row>
    <row r="35" ht="14.25" customHeight="1">
      <c r="Q35" s="537"/>
      <c r="R35" s="537"/>
      <c r="S35" s="538"/>
      <c r="T35" s="89"/>
      <c r="U35" s="545"/>
      <c r="V35" s="546"/>
      <c r="W35" s="546"/>
      <c r="X35" s="546"/>
      <c r="Y35" s="546"/>
      <c r="Z35" s="546"/>
      <c r="AA35" s="546"/>
      <c r="AB35" s="546"/>
      <c r="AC35" s="546"/>
      <c r="AD35" s="546"/>
      <c r="AE35" s="546"/>
      <c r="AF35" s="546"/>
      <c r="AG35" s="546"/>
      <c r="AH35" s="546"/>
      <c r="AI35" s="546"/>
    </row>
    <row r="36" ht="14.25" customHeight="1">
      <c r="Q36" s="537"/>
      <c r="R36" s="537"/>
      <c r="S36" s="156" t="s">
        <v>288</v>
      </c>
      <c r="T36" s="156"/>
      <c r="U36" s="156"/>
      <c r="V36" s="156"/>
      <c r="W36" s="156"/>
      <c r="X36" s="156"/>
      <c r="Y36" s="156"/>
      <c r="Z36" s="156"/>
      <c r="AA36" s="156"/>
      <c r="AB36" s="156"/>
      <c r="AC36" s="156"/>
      <c r="AD36" s="156"/>
      <c r="AE36" s="156"/>
      <c r="AF36" s="156"/>
      <c r="AG36" s="156"/>
      <c r="AH36" s="156"/>
      <c r="AI36" s="156"/>
      <c r="AJ36" s="156"/>
      <c r="AK36" s="156" t="s">
        <v>289</v>
      </c>
    </row>
    <row r="37" ht="14.25" customHeight="1">
      <c r="Q37" s="537"/>
      <c r="R37" s="537"/>
      <c r="S37" s="483" t="s">
        <v>85</v>
      </c>
      <c r="T37" s="347" t="s">
        <v>418</v>
      </c>
      <c r="U37" s="547"/>
      <c r="V37" s="548" t="s">
        <v>419</v>
      </c>
      <c r="W37" s="549"/>
      <c r="X37" s="549"/>
      <c r="Y37" s="549"/>
      <c r="Z37" s="549"/>
      <c r="AA37" s="550"/>
      <c r="AB37" s="551" t="s">
        <v>420</v>
      </c>
      <c r="AC37" s="548" t="s">
        <v>419</v>
      </c>
      <c r="AD37" s="549"/>
      <c r="AE37" s="549"/>
      <c r="AF37" s="549"/>
      <c r="AG37" s="549"/>
      <c r="AH37" s="550"/>
      <c r="AI37" s="551" t="s">
        <v>421</v>
      </c>
      <c r="AJ37" s="552" t="s">
        <v>422</v>
      </c>
      <c r="AK37" s="156"/>
    </row>
    <row r="38" ht="33.75" customHeight="1">
      <c r="Q38" s="537"/>
      <c r="R38" s="537"/>
      <c r="S38" s="483"/>
      <c r="T38" s="347"/>
      <c r="U38" s="553"/>
      <c r="V38" s="306" t="s">
        <v>479</v>
      </c>
      <c r="W38" s="73" t="s">
        <v>425</v>
      </c>
      <c r="X38" s="72"/>
      <c r="Y38" s="73" t="s">
        <v>426</v>
      </c>
      <c r="Z38" s="144"/>
      <c r="AA38" s="72"/>
      <c r="AB38" s="555"/>
      <c r="AC38" s="306" t="s">
        <v>479</v>
      </c>
      <c r="AD38" s="73" t="s">
        <v>425</v>
      </c>
      <c r="AE38" s="72"/>
      <c r="AF38" s="73" t="s">
        <v>426</v>
      </c>
      <c r="AG38" s="144"/>
      <c r="AH38" s="72"/>
      <c r="AI38" s="555"/>
      <c r="AJ38" s="556"/>
      <c r="AK38" s="156"/>
    </row>
    <row r="39" ht="86.25" customHeight="1">
      <c r="A39" s="150"/>
      <c r="B39" s="150" t="s">
        <v>137</v>
      </c>
      <c r="C39" s="150" t="s">
        <v>138</v>
      </c>
      <c r="D39" s="150" t="s">
        <v>139</v>
      </c>
      <c r="E39" s="480" t="s">
        <v>427</v>
      </c>
      <c r="F39" s="480" t="s">
        <v>428</v>
      </c>
      <c r="G39" s="480" t="s">
        <v>429</v>
      </c>
      <c r="H39" s="480"/>
      <c r="I39" s="480" t="s">
        <v>480</v>
      </c>
      <c r="J39" s="480" t="s">
        <v>432</v>
      </c>
      <c r="K39" s="480" t="s">
        <v>481</v>
      </c>
      <c r="L39" s="480" t="s">
        <v>408</v>
      </c>
      <c r="Q39" s="537"/>
      <c r="R39" s="537"/>
      <c r="S39" s="483"/>
      <c r="T39" s="347"/>
      <c r="U39" s="557"/>
      <c r="V39" s="306" t="s">
        <v>506</v>
      </c>
      <c r="W39" s="247" t="s">
        <v>507</v>
      </c>
      <c r="X39" s="247" t="s">
        <v>484</v>
      </c>
      <c r="Y39" s="247" t="s">
        <v>436</v>
      </c>
      <c r="Z39" s="414" t="s">
        <v>437</v>
      </c>
      <c r="AA39" s="416"/>
      <c r="AB39" s="559"/>
      <c r="AC39" s="306" t="s">
        <v>506</v>
      </c>
      <c r="AD39" s="247" t="s">
        <v>507</v>
      </c>
      <c r="AE39" s="247" t="s">
        <v>484</v>
      </c>
      <c r="AF39" s="247" t="s">
        <v>436</v>
      </c>
      <c r="AG39" s="414" t="s">
        <v>437</v>
      </c>
      <c r="AH39" s="416"/>
      <c r="AI39" s="559"/>
      <c r="AJ39" s="560"/>
      <c r="AK39" s="156"/>
    </row>
    <row r="40" s="130" customFormat="1" ht="0" customHeight="1">
      <c r="A40" s="150"/>
      <c r="B40" s="150"/>
      <c r="C40" s="150"/>
      <c r="D40" s="150"/>
      <c r="E40" s="150"/>
      <c r="F40" s="150"/>
      <c r="G40" s="150"/>
      <c r="H40" s="150"/>
      <c r="I40" s="150"/>
      <c r="J40" s="150"/>
      <c r="K40" s="150"/>
      <c r="L40" s="480"/>
      <c r="M40" s="61"/>
      <c r="N40" s="61"/>
      <c r="O40" s="61"/>
      <c r="P40" s="561"/>
      <c r="Q40" s="562"/>
      <c r="R40" s="563">
        <v>1</v>
      </c>
      <c r="S40" s="564" t="s">
        <v>111</v>
      </c>
      <c r="T40" s="565" t="s">
        <v>99</v>
      </c>
      <c r="U40" s="566" t="str">
        <f ca="1">OFFSET(U40,0,-1)</f>
        <v>2</v>
      </c>
      <c r="V40" s="567">
        <f ca="1">OFFSET(V40,0,-1)+1</f>
        <v>3</v>
      </c>
      <c r="W40" s="567">
        <f ca="1">OFFSET(W40,0,-1)+1</f>
        <v>4</v>
      </c>
      <c r="X40" s="567">
        <f ca="1">OFFSET(X40,0,-1)+1</f>
        <v>5</v>
      </c>
      <c r="Y40" s="567">
        <f ca="1">OFFSET(Y40,0,-1)+1</f>
        <v>6</v>
      </c>
      <c r="Z40" s="567">
        <f ca="1">OFFSET(Z40,0,-1)+1</f>
        <v>7</v>
      </c>
      <c r="AA40" s="567"/>
      <c r="AB40" s="567">
        <f ca="1">OFFSET(AB40,0,-2)+1</f>
        <v>8</v>
      </c>
      <c r="AC40" s="567">
        <f ca="1">OFFSET(AC40,0,-1)+1</f>
        <v>9</v>
      </c>
      <c r="AD40" s="567">
        <f ca="1">OFFSET(AD40,0,-1)+1</f>
        <v>10</v>
      </c>
      <c r="AE40" s="567">
        <f ca="1">OFFSET(AE40,0,-1)+1</f>
        <v>11</v>
      </c>
      <c r="AF40" s="567">
        <f ca="1">OFFSET(AF40,0,-1)+1</f>
        <v>12</v>
      </c>
      <c r="AG40" s="567">
        <f ca="1">OFFSET(AG40,0,-1)+1</f>
        <v>13</v>
      </c>
      <c r="AH40" s="567"/>
      <c r="AI40" s="567">
        <f ca="1">OFFSET(AI40,0,-2)+1</f>
        <v>14</v>
      </c>
      <c r="AJ40" s="566">
        <f ca="1">OFFSET(AJ40,0,-1)</f>
        <v>14</v>
      </c>
      <c r="AK40" s="567">
        <f ca="1">OFFSET(AK40,0,-1)+1</f>
        <v>15</v>
      </c>
      <c r="AL40" s="57"/>
      <c r="AM40" s="57"/>
      <c r="AN40" s="57"/>
      <c r="AO40" s="57"/>
      <c r="AP40" s="57"/>
    </row>
    <row r="41" ht="23.25" customHeight="1">
      <c r="A41" s="478" t="s">
        <v>259</v>
      </c>
      <c r="B41" s="478"/>
      <c r="C41" s="478"/>
      <c r="D41" s="478"/>
      <c r="E41" s="479">
        <v>1</v>
      </c>
      <c r="F41" s="478"/>
      <c r="G41" s="478"/>
      <c r="H41" s="478"/>
      <c r="I41" s="478"/>
      <c r="J41" s="478"/>
      <c r="K41" s="478"/>
      <c r="L41" s="480"/>
      <c r="M41" s="481"/>
      <c r="N41" s="481"/>
      <c r="O41" s="481"/>
      <c r="P41" s="60"/>
      <c r="Q41" s="142"/>
      <c r="R41" s="482"/>
      <c r="S41" s="483">
        <f>INDEX(PT_DIFFERENTIATION_NUM_NTAR,MATCH(A41,PT_DIFFERENTIATION_NTAR_ID,0))</f>
        <v>0</v>
      </c>
      <c r="T41" s="484" t="s">
        <v>125</v>
      </c>
      <c r="U41" s="485"/>
      <c r="V41" s="486"/>
      <c r="W41" s="487"/>
      <c r="X41" s="487"/>
      <c r="Y41" s="487"/>
      <c r="Z41" s="487"/>
      <c r="AA41" s="487"/>
      <c r="AB41" s="488"/>
      <c r="AC41" s="486" t="str">
        <f>INDEX(PT_DIFFERENTIATION_NTAR,MATCH(A41,PT_DIFFERENTIATION_NTAR_ID,0))</f>
        <v/>
      </c>
      <c r="AD41" s="487"/>
      <c r="AE41" s="487"/>
      <c r="AF41" s="487"/>
      <c r="AG41" s="487"/>
      <c r="AH41" s="487"/>
      <c r="AI41" s="487"/>
      <c r="AJ41" s="488"/>
      <c r="AK41"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8"/>
      <c r="AN41" s="128" t="str">
        <f t="shared" si="33"/>
        <v xml:space="preserve">Наименование тарифа</v>
      </c>
      <c r="AO41" s="128"/>
      <c r="AP41" s="128"/>
    </row>
    <row r="42" ht="23.25" customHeight="1">
      <c r="A42" s="478" t="s">
        <v>259</v>
      </c>
      <c r="B42" s="478" t="s">
        <v>260</v>
      </c>
      <c r="C42" s="478"/>
      <c r="D42" s="478"/>
      <c r="E42" s="490"/>
      <c r="F42" s="479">
        <v>1</v>
      </c>
      <c r="G42" s="478"/>
      <c r="H42" s="478"/>
      <c r="I42" s="478"/>
      <c r="J42" s="478"/>
      <c r="K42" s="478"/>
      <c r="L42" s="480"/>
      <c r="M42" s="481"/>
      <c r="N42" s="481"/>
      <c r="O42" s="481"/>
      <c r="P42" s="51"/>
      <c r="Q42" s="491"/>
      <c r="R42" s="492"/>
      <c r="S42" s="483" t="str">
        <f>INDEX(PT_DIFFERENTIATION_NUM_TER,MATCH(B42,PT_DIFFERENTIATION_TER_ID,0))</f>
        <v>.</v>
      </c>
      <c r="T42" s="493" t="s">
        <v>387</v>
      </c>
      <c r="U42" s="485"/>
      <c r="V42" s="486"/>
      <c r="W42" s="487"/>
      <c r="X42" s="487"/>
      <c r="Y42" s="487"/>
      <c r="Z42" s="487"/>
      <c r="AA42" s="487"/>
      <c r="AB42" s="488"/>
      <c r="AC42" s="486" t="str">
        <f>INDEX(PT_DIFFERENTIATION_TER,MATCH(B42,PT_DIFFERENTIATION_TER_ID,0))</f>
        <v/>
      </c>
      <c r="AD42" s="487"/>
      <c r="AE42" s="487"/>
      <c r="AF42" s="487"/>
      <c r="AG42" s="487"/>
      <c r="AH42" s="487"/>
      <c r="AI42" s="487"/>
      <c r="AJ42" s="488"/>
      <c r="AK42" s="489" t="s">
        <v>388</v>
      </c>
      <c r="AM42" s="128"/>
      <c r="AN42" s="128" t="str">
        <f t="shared" si="33"/>
        <v xml:space="preserve">Территория действия тарифа</v>
      </c>
      <c r="AO42" s="128"/>
      <c r="AP42" s="128"/>
    </row>
    <row r="43" ht="23.25" customHeight="1">
      <c r="A43" s="478" t="s">
        <v>259</v>
      </c>
      <c r="B43" s="478" t="s">
        <v>260</v>
      </c>
      <c r="C43" s="478" t="s">
        <v>261</v>
      </c>
      <c r="D43" s="478"/>
      <c r="E43" s="490"/>
      <c r="F43" s="490"/>
      <c r="G43" s="479">
        <v>1</v>
      </c>
      <c r="H43" s="478"/>
      <c r="I43" s="478"/>
      <c r="J43" s="478"/>
      <c r="K43" s="478"/>
      <c r="L43" s="480"/>
      <c r="M43" s="481"/>
      <c r="N43" s="481"/>
      <c r="O43" s="481"/>
      <c r="P43" s="494"/>
      <c r="Q43" s="491"/>
      <c r="R43" s="492"/>
      <c r="S43" s="483" t="str">
        <f>INDEX(PT_DIFFERENTIATION_NUM_CS,MATCH(C43,PT_DIFFERENTIATION_CS_ID,0))</f>
        <v>..</v>
      </c>
      <c r="T43" s="495" t="s">
        <v>504</v>
      </c>
      <c r="U43" s="485"/>
      <c r="V43" s="486"/>
      <c r="W43" s="487"/>
      <c r="X43" s="487"/>
      <c r="Y43" s="487"/>
      <c r="Z43" s="487"/>
      <c r="AA43" s="487"/>
      <c r="AB43" s="488"/>
      <c r="AC43" s="486" t="str">
        <f>INDEX(PT_DIFFERENTIATION_CS,MATCH(C43,PT_DIFFERENTIATION_CS_ID,0))</f>
        <v/>
      </c>
      <c r="AD43" s="487"/>
      <c r="AE43" s="487"/>
      <c r="AF43" s="487"/>
      <c r="AG43" s="487"/>
      <c r="AH43" s="487"/>
      <c r="AI43" s="487"/>
      <c r="AJ43" s="488"/>
      <c r="AK43" s="489" t="s">
        <v>505</v>
      </c>
      <c r="AM43" s="128"/>
      <c r="AN43" s="128" t="str">
        <f t="shared" si="33"/>
        <v xml:space="preserve">Наименование централизованной системы водоотведения</v>
      </c>
      <c r="AO43" s="128"/>
      <c r="AP43" s="128"/>
    </row>
    <row r="44" ht="23.25" customHeight="1">
      <c r="A44" s="478" t="s">
        <v>259</v>
      </c>
      <c r="B44" s="478" t="s">
        <v>260</v>
      </c>
      <c r="C44" s="478" t="s">
        <v>261</v>
      </c>
      <c r="D44" s="478" t="s">
        <v>509</v>
      </c>
      <c r="E44" s="490"/>
      <c r="F44" s="490"/>
      <c r="G44" s="490"/>
      <c r="H44" s="490"/>
      <c r="I44" s="167" t="str">
        <f>S43&amp;".1"</f>
        <v>...1</v>
      </c>
      <c r="J44" s="478"/>
      <c r="K44" s="478"/>
      <c r="L44" s="480"/>
      <c r="P44" s="131">
        <v>1</v>
      </c>
      <c r="Q44" s="131"/>
      <c r="R44" s="497"/>
      <c r="S44" s="483" t="str">
        <f>$I44</f>
        <v>...1</v>
      </c>
      <c r="T44" s="498" t="s">
        <v>473</v>
      </c>
      <c r="U44" s="485"/>
      <c r="V44" s="658"/>
      <c r="W44" s="659"/>
      <c r="X44" s="659"/>
      <c r="Y44" s="659"/>
      <c r="Z44" s="659"/>
      <c r="AA44" s="659"/>
      <c r="AB44" s="660"/>
      <c r="AC44" s="661"/>
      <c r="AD44" s="662"/>
      <c r="AE44" s="662"/>
      <c r="AF44" s="662"/>
      <c r="AG44" s="662"/>
      <c r="AH44" s="662"/>
      <c r="AI44" s="662"/>
      <c r="AJ44" s="663"/>
      <c r="AK44" s="489" t="s">
        <v>474</v>
      </c>
      <c r="AM44" s="128"/>
      <c r="AN44" s="128" t="str">
        <f t="shared" si="33"/>
        <v xml:space="preserve">Наименование признака дифференциации</v>
      </c>
      <c r="AO44" s="128"/>
      <c r="AP44" s="128"/>
    </row>
    <row r="45" ht="23.25" customHeight="1">
      <c r="A45" s="478" t="s">
        <v>259</v>
      </c>
      <c r="B45" s="478" t="s">
        <v>260</v>
      </c>
      <c r="C45" s="478" t="s">
        <v>261</v>
      </c>
      <c r="D45" s="478" t="s">
        <v>509</v>
      </c>
      <c r="E45" s="490"/>
      <c r="F45" s="490"/>
      <c r="G45" s="490"/>
      <c r="H45" s="490"/>
      <c r="I45" s="501"/>
      <c r="J45" s="167" t="str">
        <f>I44&amp;".1"</f>
        <v>...1.1</v>
      </c>
      <c r="K45" s="478"/>
      <c r="L45" s="480" t="s">
        <v>396</v>
      </c>
      <c r="P45" s="131"/>
      <c r="Q45" s="131">
        <v>1</v>
      </c>
      <c r="R45" s="502"/>
      <c r="S45" s="483" t="str">
        <f>$J45</f>
        <v>...1.1</v>
      </c>
      <c r="T45" s="503" t="s">
        <v>397</v>
      </c>
      <c r="U45" s="485"/>
      <c r="V45" s="430"/>
      <c r="W45" s="499"/>
      <c r="X45" s="499"/>
      <c r="Y45" s="499"/>
      <c r="Z45" s="499"/>
      <c r="AA45" s="499"/>
      <c r="AB45" s="500"/>
      <c r="AC45" s="430"/>
      <c r="AD45" s="499"/>
      <c r="AE45" s="499"/>
      <c r="AF45" s="499"/>
      <c r="AG45" s="499"/>
      <c r="AH45" s="499"/>
      <c r="AI45" s="499"/>
      <c r="AJ45" s="500"/>
      <c r="AK45" s="593" t="s">
        <v>475</v>
      </c>
      <c r="AM45" s="128"/>
      <c r="AN45" s="128" t="str">
        <f t="shared" si="33"/>
        <v xml:space="preserve">Группа потребителей</v>
      </c>
      <c r="AO45" s="128"/>
      <c r="AP45" s="128"/>
    </row>
    <row r="46" ht="23.25" customHeight="1">
      <c r="A46" s="478" t="s">
        <v>259</v>
      </c>
      <c r="B46" s="478" t="s">
        <v>260</v>
      </c>
      <c r="C46" s="478" t="s">
        <v>261</v>
      </c>
      <c r="D46" s="478" t="s">
        <v>509</v>
      </c>
      <c r="E46" s="490"/>
      <c r="F46" s="490"/>
      <c r="G46" s="490"/>
      <c r="H46" s="490"/>
      <c r="I46" s="501"/>
      <c r="J46" s="501"/>
      <c r="K46" s="167" t="str">
        <f>J45&amp;".1"</f>
        <v>...1.1.1</v>
      </c>
      <c r="L46" s="480"/>
      <c r="P46" s="131"/>
      <c r="Q46" s="131"/>
      <c r="R46" s="502">
        <v>1</v>
      </c>
      <c r="S46" s="483" t="str">
        <f>$K46</f>
        <v>...1.1.1</v>
      </c>
      <c r="T46" s="664"/>
      <c r="U46" s="485"/>
      <c r="V46" s="531"/>
      <c r="W46" s="531"/>
      <c r="X46" s="532"/>
      <c r="Y46" s="533"/>
      <c r="Z46" s="534" t="s">
        <v>56</v>
      </c>
      <c r="AA46" s="533"/>
      <c r="AB46" s="534" t="s">
        <v>56</v>
      </c>
      <c r="AC46" s="505"/>
      <c r="AD46" s="505"/>
      <c r="AE46" s="507"/>
      <c r="AF46" s="508"/>
      <c r="AG46" s="225" t="s">
        <v>56</v>
      </c>
      <c r="AH46" s="568"/>
      <c r="AI46" s="225" t="s">
        <v>54</v>
      </c>
      <c r="AJ46" s="665"/>
      <c r="AK46"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8"/>
      <c r="AN46" s="128" t="str">
        <f t="shared" si="33"/>
        <v/>
      </c>
      <c r="AO46" s="128"/>
      <c r="AP46" s="128"/>
    </row>
    <row r="47" ht="0" customHeight="1">
      <c r="A47" s="478" t="s">
        <v>259</v>
      </c>
      <c r="B47" s="478" t="s">
        <v>260</v>
      </c>
      <c r="C47" s="478" t="s">
        <v>261</v>
      </c>
      <c r="D47" s="478" t="s">
        <v>509</v>
      </c>
      <c r="E47" s="490"/>
      <c r="F47" s="490"/>
      <c r="G47" s="490"/>
      <c r="H47" s="490"/>
      <c r="I47" s="501"/>
      <c r="J47" s="501"/>
      <c r="K47" s="167"/>
      <c r="L47" s="480"/>
      <c r="P47" s="131"/>
      <c r="Q47" s="131"/>
      <c r="R47" s="502"/>
      <c r="S47" s="457"/>
      <c r="T47" s="485"/>
      <c r="U47" s="485"/>
      <c r="V47" s="531"/>
      <c r="W47" s="531"/>
      <c r="X47" s="510" t="str">
        <f>Y46&amp;"-"&amp;AA46</f>
        <v>-</v>
      </c>
      <c r="Y47" s="534"/>
      <c r="Z47" s="534"/>
      <c r="AA47" s="534"/>
      <c r="AB47" s="534"/>
      <c r="AC47" s="506"/>
      <c r="AD47" s="506"/>
      <c r="AE47" s="510" t="str">
        <f>AF46&amp;"-"&amp;AH46</f>
        <v>-</v>
      </c>
      <c r="AF47" s="511"/>
      <c r="AG47" s="225"/>
      <c r="AH47" s="570"/>
      <c r="AI47" s="225"/>
      <c r="AJ47" s="667"/>
      <c r="AK47" s="666"/>
      <c r="AM47" s="128"/>
      <c r="AN47" s="128" t="str">
        <f t="shared" si="33"/>
        <v/>
      </c>
      <c r="AO47" s="128"/>
      <c r="AP47" s="128"/>
    </row>
    <row r="48" ht="21" customHeight="1">
      <c r="A48" s="478" t="s">
        <v>259</v>
      </c>
      <c r="B48" s="478" t="s">
        <v>260</v>
      </c>
      <c r="C48" s="478" t="s">
        <v>261</v>
      </c>
      <c r="D48" s="478" t="s">
        <v>509</v>
      </c>
      <c r="E48" s="490"/>
      <c r="F48" s="490"/>
      <c r="G48" s="490"/>
      <c r="H48" s="490"/>
      <c r="I48" s="501"/>
      <c r="J48" s="167"/>
      <c r="K48" s="478"/>
      <c r="L48" s="480"/>
      <c r="P48" s="131"/>
      <c r="Q48" s="131"/>
      <c r="R48" s="497"/>
      <c r="S48" s="513"/>
      <c r="T48" s="517" t="s">
        <v>476</v>
      </c>
      <c r="U48" s="215"/>
      <c r="V48" s="215"/>
      <c r="W48" s="215"/>
      <c r="X48" s="215"/>
      <c r="Y48" s="215"/>
      <c r="Z48" s="215"/>
      <c r="AA48" s="215"/>
      <c r="AB48" s="215"/>
      <c r="AC48" s="215"/>
      <c r="AD48" s="215"/>
      <c r="AE48" s="215"/>
      <c r="AF48" s="215"/>
      <c r="AG48" s="215"/>
      <c r="AH48" s="215"/>
      <c r="AI48" s="215"/>
      <c r="AJ48" s="215"/>
      <c r="AK48" s="489" t="s">
        <v>477</v>
      </c>
      <c r="AM48" s="128"/>
      <c r="AN48" s="128" t="str">
        <f t="shared" si="33"/>
        <v xml:space="preserve">Добавить значение признака дифференциации</v>
      </c>
      <c r="AO48" s="128"/>
      <c r="AP48" s="128"/>
    </row>
    <row r="49" ht="21" customHeight="1">
      <c r="A49" s="478" t="s">
        <v>259</v>
      </c>
      <c r="B49" s="478" t="s">
        <v>260</v>
      </c>
      <c r="C49" s="478" t="s">
        <v>261</v>
      </c>
      <c r="D49" s="478" t="s">
        <v>509</v>
      </c>
      <c r="E49" s="490"/>
      <c r="F49" s="490"/>
      <c r="G49" s="490"/>
      <c r="H49" s="490"/>
      <c r="I49" s="167"/>
      <c r="J49" s="478"/>
      <c r="K49" s="478"/>
      <c r="L49" s="480"/>
      <c r="P49" s="131"/>
      <c r="Q49" s="131"/>
      <c r="R49" s="497"/>
      <c r="S49" s="513"/>
      <c r="T49" s="521" t="s">
        <v>402</v>
      </c>
      <c r="U49" s="215"/>
      <c r="V49" s="215"/>
      <c r="W49" s="215"/>
      <c r="X49" s="215"/>
      <c r="Y49" s="215"/>
      <c r="Z49" s="215"/>
      <c r="AA49" s="215"/>
      <c r="AB49" s="518"/>
      <c r="AC49" s="215"/>
      <c r="AD49" s="215"/>
      <c r="AE49" s="215"/>
      <c r="AF49" s="215"/>
      <c r="AG49" s="215"/>
      <c r="AH49" s="215"/>
      <c r="AI49" s="518"/>
      <c r="AJ49" s="215"/>
      <c r="AK49" s="668"/>
      <c r="AM49" s="128"/>
      <c r="AN49" s="128" t="str">
        <f t="shared" si="33"/>
        <v xml:space="preserve">Добавить группу потребителей</v>
      </c>
      <c r="AO49" s="128"/>
      <c r="AP49" s="128"/>
    </row>
    <row r="50" ht="21" customHeight="1">
      <c r="A50" s="478" t="s">
        <v>259</v>
      </c>
      <c r="B50" s="478" t="s">
        <v>260</v>
      </c>
      <c r="C50" s="478" t="s">
        <v>261</v>
      </c>
      <c r="D50" s="478" t="s">
        <v>509</v>
      </c>
      <c r="E50" s="490"/>
      <c r="F50" s="490"/>
      <c r="G50" s="490"/>
      <c r="H50" s="479"/>
      <c r="I50" s="478"/>
      <c r="J50" s="478"/>
      <c r="K50" s="478"/>
      <c r="L50" s="480"/>
      <c r="M50" s="481"/>
      <c r="N50" s="481"/>
      <c r="O50" s="53"/>
      <c r="P50" s="142"/>
      <c r="Q50" s="520"/>
      <c r="R50" s="482"/>
      <c r="S50" s="513"/>
      <c r="T50" s="669" t="s">
        <v>478</v>
      </c>
      <c r="U50" s="215"/>
      <c r="V50" s="215"/>
      <c r="W50" s="215"/>
      <c r="X50" s="215"/>
      <c r="Y50" s="215"/>
      <c r="Z50" s="215"/>
      <c r="AA50" s="215"/>
      <c r="AB50" s="518"/>
      <c r="AC50" s="215"/>
      <c r="AD50" s="215"/>
      <c r="AE50" s="215"/>
      <c r="AF50" s="215"/>
      <c r="AG50" s="215"/>
      <c r="AH50" s="215"/>
      <c r="AI50" s="518"/>
      <c r="AJ50" s="215"/>
      <c r="AK50" s="519"/>
      <c r="AM50" s="128"/>
      <c r="AN50" s="128" t="str">
        <f t="shared" si="33"/>
        <v xml:space="preserve">Добавить наименование признака дифференциации</v>
      </c>
      <c r="AO50" s="128"/>
      <c r="AP50" s="128"/>
    </row>
    <row r="51" s="57" customFormat="1" ht="0" customHeight="1">
      <c r="A51" s="132" t="s">
        <v>259</v>
      </c>
      <c r="B51" s="132" t="s">
        <v>260</v>
      </c>
      <c r="C51" s="132"/>
      <c r="D51" s="132"/>
      <c r="E51" s="490"/>
      <c r="F51" s="479"/>
      <c r="G51" s="132"/>
      <c r="H51" s="132"/>
      <c r="I51" s="132"/>
      <c r="J51" s="132"/>
      <c r="K51" s="132"/>
      <c r="L51" s="213"/>
      <c r="M51" s="526"/>
      <c r="N51" s="526"/>
      <c r="P51" s="166"/>
      <c r="Q51" s="522"/>
      <c r="R51" s="166"/>
      <c r="S51" s="527"/>
      <c r="T51" s="530" t="s">
        <v>405</v>
      </c>
      <c r="U51" s="529"/>
      <c r="V51" s="529"/>
      <c r="W51" s="529"/>
      <c r="X51" s="529"/>
      <c r="Y51" s="529"/>
      <c r="Z51" s="529"/>
      <c r="AA51" s="529"/>
      <c r="AB51" s="529"/>
      <c r="AC51" s="529"/>
      <c r="AD51" s="529"/>
      <c r="AE51" s="529"/>
      <c r="AF51" s="529"/>
      <c r="AG51" s="529"/>
      <c r="AH51" s="529"/>
      <c r="AI51" s="529"/>
      <c r="AJ51" s="529"/>
      <c r="AK51" s="529"/>
      <c r="AM51" s="128"/>
      <c r="AN51" s="128" t="str">
        <f t="shared" si="33"/>
        <v xml:space="preserve">Добавить централизованную систему для дифференциации</v>
      </c>
      <c r="AO51" s="128"/>
      <c r="AP51" s="128"/>
    </row>
    <row r="52" s="57" customFormat="1" ht="0" customHeight="1">
      <c r="A52" s="132" t="s">
        <v>259</v>
      </c>
      <c r="B52" s="132"/>
      <c r="C52" s="132"/>
      <c r="D52" s="132"/>
      <c r="E52" s="479"/>
      <c r="F52" s="132"/>
      <c r="G52" s="132"/>
      <c r="H52" s="132"/>
      <c r="I52" s="132"/>
      <c r="J52" s="132"/>
      <c r="K52" s="132"/>
      <c r="L52" s="213"/>
      <c r="M52" s="526"/>
      <c r="N52" s="526"/>
      <c r="O52" s="57"/>
      <c r="P52" s="166"/>
      <c r="Q52" s="522"/>
      <c r="R52" s="166"/>
      <c r="S52" s="527"/>
      <c r="T52" s="530" t="s">
        <v>406</v>
      </c>
      <c r="U52" s="529"/>
      <c r="V52" s="529"/>
      <c r="W52" s="529"/>
      <c r="X52" s="529"/>
      <c r="Y52" s="529"/>
      <c r="Z52" s="529"/>
      <c r="AA52" s="529"/>
      <c r="AB52" s="529"/>
      <c r="AC52" s="529"/>
      <c r="AD52" s="529"/>
      <c r="AE52" s="529"/>
      <c r="AF52" s="529"/>
      <c r="AG52" s="529"/>
      <c r="AH52" s="529"/>
      <c r="AI52" s="529"/>
      <c r="AJ52" s="529"/>
      <c r="AK52" s="529"/>
      <c r="AM52" s="128"/>
      <c r="AN52" s="128" t="str">
        <f t="shared" si="33"/>
        <v xml:space="preserve">Добавить территорию для дифференциации</v>
      </c>
      <c r="AO52" s="128"/>
      <c r="AP52" s="128"/>
    </row>
    <row r="53" s="57" customFormat="1" ht="0" customHeight="1">
      <c r="A53" s="132"/>
      <c r="B53" s="132"/>
      <c r="C53" s="132"/>
      <c r="D53" s="132"/>
      <c r="E53" s="132"/>
      <c r="F53" s="132"/>
      <c r="G53" s="132"/>
      <c r="H53" s="132"/>
      <c r="I53" s="132"/>
      <c r="J53" s="132"/>
      <c r="K53" s="132"/>
      <c r="L53" s="213"/>
      <c r="M53" s="526"/>
      <c r="N53" s="526"/>
      <c r="P53" s="166"/>
      <c r="Q53" s="522"/>
      <c r="R53" s="166"/>
      <c r="S53" s="527"/>
      <c r="T53" s="530" t="s">
        <v>438</v>
      </c>
      <c r="U53" s="529"/>
      <c r="V53" s="529"/>
      <c r="W53" s="529"/>
      <c r="X53" s="529"/>
      <c r="Y53" s="529"/>
      <c r="Z53" s="529"/>
      <c r="AA53" s="529"/>
      <c r="AB53" s="529"/>
      <c r="AC53" s="529"/>
      <c r="AD53" s="529"/>
      <c r="AE53" s="529"/>
      <c r="AF53" s="529"/>
      <c r="AG53" s="529"/>
      <c r="AH53" s="529"/>
      <c r="AI53" s="529"/>
      <c r="AJ53" s="529"/>
      <c r="AK53" s="529"/>
      <c r="AM53" s="128"/>
      <c r="AN53" s="128" t="str">
        <f t="shared" si="33"/>
        <v xml:space="preserve">Добавить наименование тарифа</v>
      </c>
      <c r="AO53" s="128"/>
      <c r="AP53" s="128"/>
    </row>
    <row r="54" ht="11.25" customHeight="1">
      <c r="M54" s="53"/>
      <c r="N54" s="53"/>
      <c r="O54" s="53"/>
      <c r="P54" s="50"/>
      <c r="Q54" s="50"/>
      <c r="R54" s="50"/>
      <c r="S54" s="50"/>
      <c r="AL54" s="50"/>
      <c r="AM54" s="50"/>
      <c r="AN54" s="50"/>
      <c r="AO54" s="50"/>
      <c r="AP54" s="50"/>
    </row>
    <row r="55" ht="14.25" customHeight="1">
      <c r="O55" s="53"/>
      <c r="S55" s="475"/>
      <c r="T55" s="572"/>
      <c r="U55" s="572"/>
      <c r="V55" s="572"/>
      <c r="W55" s="572"/>
      <c r="X55" s="572"/>
      <c r="Y55" s="572"/>
      <c r="Z55" s="572"/>
      <c r="AA55" s="572"/>
      <c r="AB55" s="572"/>
      <c r="AC55" s="572"/>
      <c r="AD55" s="572"/>
      <c r="AE55" s="572"/>
      <c r="AF55" s="572"/>
      <c r="AG55" s="572"/>
      <c r="AH55" s="572"/>
      <c r="AI55" s="572"/>
      <c r="AJ55" s="572"/>
      <c r="AK55" s="572"/>
    </row>
    <row r="56" ht="14.25" customHeight="1">
      <c r="O56" s="53"/>
    </row>
    <row r="57" ht="14.25" customHeight="1">
      <c r="O57" s="53"/>
      <c r="S57" s="475"/>
      <c r="T57" s="572"/>
      <c r="U57" s="572"/>
      <c r="V57" s="572"/>
      <c r="W57" s="572"/>
      <c r="X57" s="572"/>
      <c r="Y57" s="572"/>
      <c r="Z57" s="572"/>
      <c r="AA57" s="572"/>
      <c r="AB57" s="572"/>
      <c r="AC57" s="572"/>
      <c r="AD57" s="572"/>
      <c r="AE57" s="572"/>
      <c r="AF57" s="572"/>
      <c r="AG57" s="572"/>
      <c r="AH57" s="572"/>
      <c r="AI57" s="572"/>
      <c r="AJ57" s="572"/>
      <c r="AK57" s="572"/>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000BD-00C1-4B0B-B723-00B000C2003D}"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9E00CA-0047-43DB-847A-001700F400E6}"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B8002B-00BC-46AD-A4D4-00EF00A100F7}"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100028-00DF-4DC0-B6ED-00780035007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R27" zoomScale="90" workbookViewId="0">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1" width="3.7109375"/>
    <col customWidth="1" hidden="1" min="17" max="17" style="536" width="3.7109375"/>
    <col customWidth="1" min="18" max="18" style="477" width="3.7109375"/>
    <col customWidth="1" min="19" max="19" style="322" width="12.7109375"/>
    <col customWidth="1" min="20" max="20" style="50" width="32.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2" style="50" width="3.7109375"/>
    <col customWidth="1" min="33" max="33" style="50" width="24.7109375"/>
    <col customWidth="1" min="34" max="36" style="50" width="3.7109375"/>
    <col customWidth="1" min="37" max="37" style="50" width="24.7109375"/>
    <col customWidth="1" min="38" max="40" style="50" width="3.7109375"/>
    <col customWidth="1" min="41" max="41" style="50" width="18.8515625"/>
    <col customWidth="1" min="42" max="44" style="50" width="3.7109375"/>
    <col customWidth="1" min="45" max="45" style="50" width="18.8515625"/>
    <col customWidth="1" min="46" max="49" style="50" width="21.7109375"/>
    <col customWidth="1" min="50" max="50" style="50" width="11.7109375"/>
    <col customWidth="1" min="51" max="51" style="50" width="3.7109375"/>
    <col customWidth="1" min="52" max="52" style="50" width="11.7109375"/>
    <col customWidth="1" hidden="1" min="53" max="53" style="50" width="8.57421875"/>
    <col customWidth="1" min="54" max="54" style="50" width="4.7109375"/>
    <col customWidth="1" min="55" max="55" style="50" width="115.7109375"/>
    <col min="56" max="57" style="57" width="10.57421875"/>
    <col customWidth="1" min="58" max="58" style="57" width="11.140625"/>
    <col min="59" max="60" style="57" width="10.57421875"/>
  </cols>
  <sheetData>
    <row r="1" ht="14.25" hidden="1" customHeight="1">
      <c r="W1" s="50"/>
      <c r="Y1" s="50"/>
      <c r="Z1" s="50"/>
      <c r="AW1" s="50"/>
      <c r="AX1" s="50"/>
    </row>
    <row r="2" ht="21" hidden="1" customHeight="1">
      <c r="A2" s="478"/>
      <c r="B2" s="478"/>
      <c r="C2" s="478"/>
      <c r="D2" s="478"/>
      <c r="E2" s="479">
        <v>1</v>
      </c>
      <c r="F2" s="478"/>
      <c r="G2" s="478"/>
      <c r="H2" s="478"/>
      <c r="I2" s="478"/>
      <c r="J2" s="478"/>
      <c r="K2" s="478"/>
      <c r="L2" s="480"/>
      <c r="M2" s="481"/>
      <c r="N2" s="481"/>
      <c r="O2" s="481"/>
      <c r="P2" s="61"/>
      <c r="Q2" s="64"/>
      <c r="R2" s="482"/>
      <c r="S2" s="483" t="e">
        <f>INDEX(PT_DIFFERENTIATION_NUM_NTAR,MATCH(A2,PT_DIFFERENTIATION_NTAR_ID,0))</f>
        <v>#VALUE!</v>
      </c>
      <c r="T2" s="484" t="s">
        <v>125</v>
      </c>
      <c r="U2" s="485"/>
      <c r="V2" s="487"/>
      <c r="W2" s="487"/>
      <c r="X2" s="487"/>
      <c r="Y2" s="487"/>
      <c r="Z2" s="487"/>
      <c r="AA2" s="487"/>
      <c r="AB2" s="487"/>
      <c r="AC2" s="488"/>
      <c r="AD2" s="486" t="e">
        <f>INDEX(PT_DIFFERENTIATION_NTAR,MATCH(A2,PT_DIFFERENTIATION_NTAR_ID,0))</f>
        <v>#VALUE!</v>
      </c>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8"/>
      <c r="BC2"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8"/>
      <c r="BF2" s="128" t="str">
        <f t="shared" ref="BF2:BF8" si="34">IF(T2="","",T2)</f>
        <v xml:space="preserve">Наименование тарифа</v>
      </c>
      <c r="BG2" s="128"/>
      <c r="BH2" s="128"/>
    </row>
    <row r="3" ht="21" hidden="1" customHeight="1">
      <c r="A3" s="478"/>
      <c r="B3" s="478"/>
      <c r="C3" s="478"/>
      <c r="D3" s="478"/>
      <c r="E3" s="490"/>
      <c r="F3" s="479">
        <v>1</v>
      </c>
      <c r="G3" s="478"/>
      <c r="H3" s="478"/>
      <c r="I3" s="478"/>
      <c r="J3" s="478"/>
      <c r="K3" s="478"/>
      <c r="L3" s="480"/>
      <c r="M3" s="481"/>
      <c r="N3" s="481"/>
      <c r="O3" s="481"/>
      <c r="P3" s="113"/>
      <c r="Q3" s="610"/>
      <c r="R3" s="492"/>
      <c r="S3" s="483" t="e">
        <f>INDEX(PT_DIFFERENTIATION_NUM_TER,MATCH(B3,PT_DIFFERENTIATION_TER_ID,0))</f>
        <v>#VALUE!</v>
      </c>
      <c r="T3" s="493" t="s">
        <v>387</v>
      </c>
      <c r="U3" s="485"/>
      <c r="V3" s="487"/>
      <c r="W3" s="487"/>
      <c r="X3" s="487"/>
      <c r="Y3" s="487"/>
      <c r="Z3" s="487"/>
      <c r="AA3" s="487"/>
      <c r="AB3" s="487"/>
      <c r="AC3" s="488"/>
      <c r="AD3" s="486" t="e">
        <f>INDEX(PT_DIFFERENTIATION_TER,MATCH(B3,PT_DIFFERENTIATION_TER_ID,0))</f>
        <v>#VALUE!</v>
      </c>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8"/>
      <c r="BC3" s="489" t="s">
        <v>388</v>
      </c>
      <c r="BE3" s="128"/>
      <c r="BF3" s="128" t="str">
        <f t="shared" si="34"/>
        <v xml:space="preserve">Территория действия тарифа</v>
      </c>
      <c r="BG3" s="128"/>
      <c r="BH3" s="128"/>
    </row>
    <row r="4" ht="33.75" hidden="1" customHeight="1">
      <c r="A4" s="478"/>
      <c r="B4" s="478"/>
      <c r="C4" s="478"/>
      <c r="D4" s="478"/>
      <c r="E4" s="490"/>
      <c r="F4" s="490"/>
      <c r="G4" s="479">
        <v>1</v>
      </c>
      <c r="H4" s="478"/>
      <c r="I4" s="478"/>
      <c r="J4" s="478"/>
      <c r="K4" s="478"/>
      <c r="L4" s="480"/>
      <c r="M4" s="481"/>
      <c r="N4" s="481"/>
      <c r="O4" s="481"/>
      <c r="P4" s="134"/>
      <c r="Q4" s="610"/>
      <c r="R4" s="492"/>
      <c r="S4" s="483" t="e">
        <f>INDEX(PT_DIFFERENTIATION_NUM_CS,MATCH(C4,PT_DIFFERENTIATION_CS_ID,0))</f>
        <v>#VALUE!</v>
      </c>
      <c r="T4" s="495" t="s">
        <v>504</v>
      </c>
      <c r="U4" s="485"/>
      <c r="V4" s="487"/>
      <c r="W4" s="487"/>
      <c r="X4" s="487"/>
      <c r="Y4" s="487"/>
      <c r="Z4" s="487"/>
      <c r="AA4" s="487"/>
      <c r="AB4" s="487"/>
      <c r="AC4" s="488"/>
      <c r="AD4" s="486" t="e">
        <f>INDEX(PT_DIFFERENTIATION_CS,MATCH(C4,PT_DIFFERENTIATION_CS_ID,0))</f>
        <v>#VALUE!</v>
      </c>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8"/>
      <c r="BC4" s="489" t="s">
        <v>505</v>
      </c>
      <c r="BE4" s="128"/>
      <c r="BF4" s="128" t="str">
        <f t="shared" si="34"/>
        <v xml:space="preserve">Наименование централизованной системы водоотведения</v>
      </c>
      <c r="BG4" s="128"/>
      <c r="BH4" s="128"/>
    </row>
    <row r="5" s="57" customFormat="1" ht="14.25" hidden="1" customHeight="1">
      <c r="A5" s="132"/>
      <c r="B5" s="132"/>
      <c r="C5" s="132"/>
      <c r="D5" s="132"/>
      <c r="E5" s="490"/>
      <c r="F5" s="490"/>
      <c r="G5" s="490"/>
      <c r="H5" s="479">
        <v>1</v>
      </c>
      <c r="I5" s="132"/>
      <c r="J5" s="132"/>
      <c r="K5" s="132"/>
      <c r="L5" s="213"/>
      <c r="M5" s="463"/>
      <c r="N5" s="463"/>
      <c r="O5" s="463"/>
      <c r="P5" s="671"/>
      <c r="Q5" s="672"/>
      <c r="R5" s="502"/>
      <c r="S5" s="351"/>
      <c r="T5" s="673"/>
      <c r="U5" s="577"/>
      <c r="V5" s="579"/>
      <c r="W5" s="579"/>
      <c r="X5" s="579"/>
      <c r="Y5" s="579"/>
      <c r="Z5" s="579"/>
      <c r="AA5" s="579"/>
      <c r="AB5" s="579"/>
      <c r="AC5" s="580"/>
      <c r="AD5" s="578"/>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80"/>
      <c r="BC5" s="581" t="s">
        <v>392</v>
      </c>
      <c r="BE5" s="128"/>
      <c r="BF5" s="128" t="str">
        <f t="shared" si="34"/>
        <v/>
      </c>
      <c r="BG5" s="128"/>
      <c r="BH5" s="128"/>
    </row>
    <row r="6" s="57" customFormat="1" ht="14.25" hidden="1" customHeight="1">
      <c r="A6" s="132"/>
      <c r="B6" s="132"/>
      <c r="C6" s="132"/>
      <c r="D6" s="132"/>
      <c r="E6" s="490"/>
      <c r="F6" s="490"/>
      <c r="G6" s="490"/>
      <c r="H6" s="490"/>
      <c r="I6" s="167" t="str">
        <f>S5&amp;".1"</f>
        <v>.1</v>
      </c>
      <c r="J6" s="132"/>
      <c r="K6" s="132"/>
      <c r="L6" s="213" t="s">
        <v>393</v>
      </c>
      <c r="M6" s="586"/>
      <c r="N6" s="586"/>
      <c r="O6" s="586"/>
      <c r="P6" s="131">
        <v>1</v>
      </c>
      <c r="Q6" s="131"/>
      <c r="R6" s="497"/>
      <c r="S6" s="351"/>
      <c r="T6" s="576"/>
      <c r="U6" s="577"/>
      <c r="V6" s="579"/>
      <c r="W6" s="579"/>
      <c r="X6" s="579"/>
      <c r="Y6" s="579"/>
      <c r="Z6" s="579"/>
      <c r="AA6" s="579"/>
      <c r="AB6" s="579"/>
      <c r="AC6" s="580"/>
      <c r="AD6" s="578"/>
      <c r="AE6" s="579"/>
      <c r="AF6" s="579"/>
      <c r="AG6" s="579"/>
      <c r="AH6" s="579"/>
      <c r="AI6" s="579"/>
      <c r="AJ6" s="579"/>
      <c r="AK6" s="579"/>
      <c r="AL6" s="579"/>
      <c r="AM6" s="579"/>
      <c r="AN6" s="579"/>
      <c r="AO6" s="579"/>
      <c r="AP6" s="579"/>
      <c r="AQ6" s="579"/>
      <c r="AR6" s="579"/>
      <c r="AS6" s="579"/>
      <c r="AT6" s="579"/>
      <c r="AU6" s="579"/>
      <c r="AV6" s="579"/>
      <c r="AW6" s="579"/>
      <c r="AX6" s="579"/>
      <c r="AY6" s="579"/>
      <c r="AZ6" s="579"/>
      <c r="BA6" s="579"/>
      <c r="BB6" s="580"/>
      <c r="BC6" s="581"/>
      <c r="BE6" s="128"/>
      <c r="BF6" s="128" t="str">
        <f t="shared" si="34"/>
        <v/>
      </c>
      <c r="BG6" s="128"/>
      <c r="BH6" s="128"/>
    </row>
    <row r="7" s="57" customFormat="1" ht="14.25" hidden="1" customHeight="1">
      <c r="A7" s="132"/>
      <c r="B7" s="132"/>
      <c r="C7" s="132"/>
      <c r="D7" s="132"/>
      <c r="E7" s="490"/>
      <c r="F7" s="490"/>
      <c r="G7" s="490"/>
      <c r="H7" s="490"/>
      <c r="I7" s="501"/>
      <c r="J7" s="167" t="str">
        <f>S5&amp;".1"</f>
        <v>.1</v>
      </c>
      <c r="K7" s="132"/>
      <c r="L7" s="213"/>
      <c r="M7" s="586"/>
      <c r="N7" s="586"/>
      <c r="O7" s="586"/>
      <c r="P7" s="131"/>
      <c r="Q7" s="131">
        <v>1</v>
      </c>
      <c r="R7" s="502"/>
      <c r="S7" s="351"/>
      <c r="T7" s="611"/>
      <c r="U7" s="577"/>
      <c r="V7" s="579"/>
      <c r="W7" s="579"/>
      <c r="X7" s="579"/>
      <c r="Y7" s="579"/>
      <c r="Z7" s="579"/>
      <c r="AA7" s="579"/>
      <c r="AB7" s="579"/>
      <c r="AC7" s="580"/>
      <c r="AD7" s="578"/>
      <c r="AE7" s="579"/>
      <c r="AF7" s="579"/>
      <c r="AG7" s="579"/>
      <c r="AH7" s="579"/>
      <c r="AI7" s="579"/>
      <c r="AJ7" s="579"/>
      <c r="AK7" s="579"/>
      <c r="AL7" s="579"/>
      <c r="AM7" s="579"/>
      <c r="AN7" s="579"/>
      <c r="AO7" s="579"/>
      <c r="AP7" s="579"/>
      <c r="AQ7" s="579"/>
      <c r="AR7" s="579"/>
      <c r="AS7" s="579"/>
      <c r="AT7" s="579"/>
      <c r="AU7" s="579"/>
      <c r="AV7" s="579"/>
      <c r="AW7" s="579"/>
      <c r="AX7" s="579"/>
      <c r="AY7" s="579"/>
      <c r="AZ7" s="579"/>
      <c r="BA7" s="579"/>
      <c r="BB7" s="580"/>
      <c r="BC7" s="581"/>
      <c r="BE7" s="128"/>
      <c r="BF7" s="128" t="str">
        <f t="shared" si="34"/>
        <v/>
      </c>
      <c r="BG7" s="128"/>
      <c r="BH7" s="128"/>
    </row>
    <row r="8" ht="11.25" hidden="1" customHeight="1">
      <c r="A8" s="478"/>
      <c r="B8" s="478"/>
      <c r="C8" s="478"/>
      <c r="D8" s="478"/>
      <c r="E8" s="490"/>
      <c r="F8" s="490"/>
      <c r="G8" s="490"/>
      <c r="H8" s="490"/>
      <c r="I8" s="501"/>
      <c r="J8" s="501"/>
      <c r="K8" s="167" t="e">
        <f>S4&amp;".1"</f>
        <v>#VALUE!</v>
      </c>
      <c r="L8" s="480"/>
      <c r="P8" s="131"/>
      <c r="Q8" s="131"/>
      <c r="R8" s="612">
        <v>1</v>
      </c>
      <c r="S8" s="613" t="e">
        <f>$K8</f>
        <v>#VALUE!</v>
      </c>
      <c r="T8" s="674"/>
      <c r="U8" s="485"/>
      <c r="V8" s="505"/>
      <c r="W8" s="507"/>
      <c r="X8" s="505"/>
      <c r="Y8" s="507"/>
      <c r="Z8" s="508"/>
      <c r="AA8" s="225" t="s">
        <v>56</v>
      </c>
      <c r="AB8" s="508"/>
      <c r="AC8" s="225" t="s">
        <v>56</v>
      </c>
      <c r="AD8" s="313" t="s">
        <v>56</v>
      </c>
      <c r="AE8" s="615"/>
      <c r="AF8" s="345">
        <v>1</v>
      </c>
      <c r="AG8" s="675"/>
      <c r="AH8" s="225" t="s">
        <v>56</v>
      </c>
      <c r="AI8" s="615"/>
      <c r="AJ8" s="345">
        <v>1</v>
      </c>
      <c r="AK8" s="676" t="s">
        <v>18</v>
      </c>
      <c r="AL8" s="225" t="s">
        <v>56</v>
      </c>
      <c r="AM8" s="303"/>
      <c r="AN8" s="345">
        <v>1</v>
      </c>
      <c r="AO8" s="677"/>
      <c r="AP8" s="678" t="s">
        <v>56</v>
      </c>
      <c r="AQ8" s="616"/>
      <c r="AR8" s="345">
        <v>1</v>
      </c>
      <c r="AS8" s="93" t="s">
        <v>18</v>
      </c>
      <c r="AT8" s="505"/>
      <c r="AU8" s="507"/>
      <c r="AV8" s="505"/>
      <c r="AW8" s="507"/>
      <c r="AX8" s="508"/>
      <c r="AY8" s="225" t="s">
        <v>56</v>
      </c>
      <c r="AZ8" s="508"/>
      <c r="BA8" s="225" t="s">
        <v>56</v>
      </c>
      <c r="BB8" s="569"/>
      <c r="BC8" s="509" t="s">
        <v>489</v>
      </c>
      <c r="BE8" s="128"/>
      <c r="BF8" s="128" t="str">
        <f t="shared" si="34"/>
        <v/>
      </c>
      <c r="BG8" s="128"/>
      <c r="BH8" s="128"/>
    </row>
    <row r="9" ht="11.25" hidden="1" customHeight="1">
      <c r="A9" s="478"/>
      <c r="B9" s="478"/>
      <c r="C9" s="478"/>
      <c r="D9" s="478"/>
      <c r="E9" s="490"/>
      <c r="F9" s="490"/>
      <c r="G9" s="490"/>
      <c r="H9" s="490"/>
      <c r="I9" s="501"/>
      <c r="J9" s="501"/>
      <c r="K9" s="167"/>
      <c r="L9" s="480"/>
      <c r="P9" s="131"/>
      <c r="Q9" s="131"/>
      <c r="R9" s="612"/>
      <c r="S9" s="617"/>
      <c r="T9" s="679"/>
      <c r="U9" s="485"/>
      <c r="V9" s="598"/>
      <c r="W9" s="621"/>
      <c r="X9" s="598"/>
      <c r="Y9" s="621"/>
      <c r="Z9" s="598"/>
      <c r="AA9" s="598"/>
      <c r="AB9" s="598"/>
      <c r="AC9" s="598"/>
      <c r="AD9" s="319"/>
      <c r="AE9" s="615"/>
      <c r="AF9" s="345"/>
      <c r="AG9" s="675"/>
      <c r="AH9" s="225"/>
      <c r="AI9" s="615"/>
      <c r="AJ9" s="345"/>
      <c r="AK9" s="676"/>
      <c r="AL9" s="225"/>
      <c r="AM9" s="309"/>
      <c r="AN9" s="345"/>
      <c r="AO9" s="677"/>
      <c r="AP9" s="680"/>
      <c r="AQ9" s="620"/>
      <c r="AR9" s="179"/>
      <c r="AS9" s="179" t="s">
        <v>490</v>
      </c>
      <c r="AT9" s="598"/>
      <c r="AU9" s="621"/>
      <c r="AV9" s="598"/>
      <c r="AW9" s="621"/>
      <c r="AX9" s="598"/>
      <c r="AY9" s="598"/>
      <c r="AZ9" s="598"/>
      <c r="BA9" s="598"/>
      <c r="BB9" s="619"/>
      <c r="BC9" s="512"/>
      <c r="BE9" s="128"/>
      <c r="BF9" s="128"/>
      <c r="BG9" s="128"/>
      <c r="BH9" s="128"/>
    </row>
    <row r="10" ht="11.25" hidden="1" customHeight="1">
      <c r="A10" s="478"/>
      <c r="B10" s="478"/>
      <c r="C10" s="478"/>
      <c r="D10" s="478"/>
      <c r="E10" s="490"/>
      <c r="F10" s="490"/>
      <c r="G10" s="490"/>
      <c r="H10" s="490"/>
      <c r="I10" s="501"/>
      <c r="J10" s="501"/>
      <c r="K10" s="167"/>
      <c r="L10" s="480"/>
      <c r="P10" s="131"/>
      <c r="Q10" s="131"/>
      <c r="R10" s="612"/>
      <c r="S10" s="617"/>
      <c r="T10" s="679"/>
      <c r="U10" s="485"/>
      <c r="V10" s="598"/>
      <c r="W10" s="621"/>
      <c r="X10" s="598"/>
      <c r="Y10" s="621"/>
      <c r="Z10" s="598"/>
      <c r="AA10" s="598"/>
      <c r="AB10" s="598"/>
      <c r="AC10" s="598"/>
      <c r="AD10" s="319"/>
      <c r="AE10" s="615"/>
      <c r="AF10" s="345"/>
      <c r="AG10" s="675"/>
      <c r="AH10" s="225"/>
      <c r="AI10" s="615"/>
      <c r="AJ10" s="345"/>
      <c r="AK10" s="676"/>
      <c r="AL10" s="225"/>
      <c r="AM10" s="620"/>
      <c r="AN10" s="681"/>
      <c r="AO10" s="681" t="s">
        <v>510</v>
      </c>
      <c r="AP10" s="179"/>
      <c r="AQ10" s="179"/>
      <c r="AR10" s="179"/>
      <c r="AS10" s="598"/>
      <c r="AT10" s="598"/>
      <c r="AU10" s="621"/>
      <c r="AV10" s="598"/>
      <c r="AW10" s="621"/>
      <c r="AX10" s="598"/>
      <c r="AY10" s="598"/>
      <c r="AZ10" s="598"/>
      <c r="BA10" s="598"/>
      <c r="BB10" s="619"/>
      <c r="BC10" s="512"/>
      <c r="BE10" s="128"/>
      <c r="BF10" s="128"/>
      <c r="BG10" s="128"/>
      <c r="BH10" s="128"/>
    </row>
    <row r="11" ht="11.25" hidden="1" customHeight="1">
      <c r="A11" s="478"/>
      <c r="B11" s="478"/>
      <c r="C11" s="478"/>
      <c r="D11" s="478"/>
      <c r="E11" s="490"/>
      <c r="F11" s="490"/>
      <c r="G11" s="490"/>
      <c r="H11" s="490"/>
      <c r="I11" s="501"/>
      <c r="J11" s="501"/>
      <c r="K11" s="167"/>
      <c r="L11" s="480"/>
      <c r="P11" s="131"/>
      <c r="Q11" s="131"/>
      <c r="R11" s="612"/>
      <c r="S11" s="617"/>
      <c r="T11" s="679"/>
      <c r="U11" s="485"/>
      <c r="V11" s="598"/>
      <c r="W11" s="621"/>
      <c r="X11" s="598"/>
      <c r="Y11" s="621"/>
      <c r="Z11" s="598"/>
      <c r="AA11" s="598"/>
      <c r="AB11" s="598"/>
      <c r="AC11" s="598"/>
      <c r="AD11" s="319"/>
      <c r="AE11" s="615"/>
      <c r="AF11" s="345"/>
      <c r="AG11" s="675"/>
      <c r="AH11" s="225"/>
      <c r="AI11" s="623"/>
      <c r="AJ11" s="174"/>
      <c r="AK11" s="440" t="s">
        <v>511</v>
      </c>
      <c r="AL11" s="598"/>
      <c r="AM11" s="598"/>
      <c r="AN11" s="598"/>
      <c r="AO11" s="598"/>
      <c r="AP11" s="598"/>
      <c r="AQ11" s="598"/>
      <c r="AR11" s="598"/>
      <c r="AS11" s="598"/>
      <c r="AT11" s="598"/>
      <c r="AU11" s="621"/>
      <c r="AV11" s="598"/>
      <c r="AW11" s="621"/>
      <c r="AX11" s="598"/>
      <c r="AY11" s="598"/>
      <c r="AZ11" s="598"/>
      <c r="BA11" s="598"/>
      <c r="BB11" s="619"/>
      <c r="BC11" s="512"/>
      <c r="BE11" s="128"/>
      <c r="BF11" s="128"/>
      <c r="BG11" s="128"/>
      <c r="BH11" s="128"/>
    </row>
    <row r="12" ht="11.25" hidden="1" customHeight="1">
      <c r="A12" s="478"/>
      <c r="B12" s="478"/>
      <c r="C12" s="478"/>
      <c r="D12" s="478"/>
      <c r="E12" s="490"/>
      <c r="F12" s="490"/>
      <c r="G12" s="490"/>
      <c r="H12" s="490"/>
      <c r="I12" s="501"/>
      <c r="J12" s="501"/>
      <c r="K12" s="167"/>
      <c r="L12" s="480"/>
      <c r="P12" s="131"/>
      <c r="Q12" s="131"/>
      <c r="R12" s="612"/>
      <c r="S12" s="624"/>
      <c r="T12" s="682"/>
      <c r="U12" s="485"/>
      <c r="V12" s="598"/>
      <c r="W12" s="599" t="str">
        <f>Z8&amp;"-"&amp;AB8</f>
        <v>-</v>
      </c>
      <c r="X12" s="598"/>
      <c r="Y12" s="599" t="str">
        <f>AB8&amp;"-"&amp;AD8</f>
        <v>-да</v>
      </c>
      <c r="Z12" s="598"/>
      <c r="AA12" s="598"/>
      <c r="AB12" s="598"/>
      <c r="AC12" s="598"/>
      <c r="AD12" s="221"/>
      <c r="AE12" s="627"/>
      <c r="AF12" s="628"/>
      <c r="AG12" s="179" t="s">
        <v>493</v>
      </c>
      <c r="AH12" s="598"/>
      <c r="AI12" s="598"/>
      <c r="AJ12" s="598"/>
      <c r="AK12" s="598"/>
      <c r="AL12" s="598"/>
      <c r="AM12" s="598"/>
      <c r="AN12" s="598"/>
      <c r="AO12" s="598"/>
      <c r="AP12" s="598"/>
      <c r="AQ12" s="598"/>
      <c r="AR12" s="598"/>
      <c r="AS12" s="598"/>
      <c r="AT12" s="598"/>
      <c r="AU12" s="599" t="str">
        <f>AX8&amp;"-"&amp;AZ8</f>
        <v>-</v>
      </c>
      <c r="AV12" s="598"/>
      <c r="AW12" s="599" t="str">
        <f>AZ8&amp;"-"&amp;BB8</f>
        <v>-</v>
      </c>
      <c r="AX12" s="598"/>
      <c r="AY12" s="598"/>
      <c r="AZ12" s="598"/>
      <c r="BA12" s="598"/>
      <c r="BB12" s="626" t="str">
        <f>BE8&amp;"-"&amp;BG8</f>
        <v>-</v>
      </c>
      <c r="BC12" s="512"/>
      <c r="BE12" s="128"/>
      <c r="BF12" s="128" t="str">
        <f t="shared" ref="BF12:BF63" si="35">IF(T12="","",T12)</f>
        <v/>
      </c>
      <c r="BG12" s="128"/>
      <c r="BH12" s="128"/>
    </row>
    <row r="13" ht="11.25" hidden="1" customHeight="1">
      <c r="A13" s="478"/>
      <c r="B13" s="478"/>
      <c r="C13" s="478"/>
      <c r="D13" s="478"/>
      <c r="E13" s="490"/>
      <c r="F13" s="490"/>
      <c r="G13" s="490"/>
      <c r="H13" s="490"/>
      <c r="I13" s="501"/>
      <c r="J13" s="167"/>
      <c r="K13" s="478"/>
      <c r="L13" s="480"/>
      <c r="P13" s="131"/>
      <c r="Q13" s="131"/>
      <c r="R13" s="497"/>
      <c r="S13" s="513"/>
      <c r="T13" s="517" t="s">
        <v>457</v>
      </c>
      <c r="U13" s="215"/>
      <c r="V13" s="215"/>
      <c r="W13" s="215"/>
      <c r="X13" s="215"/>
      <c r="Y13" s="215"/>
      <c r="Z13" s="215"/>
      <c r="AA13" s="215"/>
      <c r="AB13" s="215"/>
      <c r="AC13" s="215"/>
      <c r="AD13" s="656"/>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515"/>
      <c r="BC13" s="516"/>
      <c r="BE13" s="128"/>
      <c r="BF13" s="128" t="str">
        <f t="shared" si="35"/>
        <v xml:space="preserve">Добавить строку</v>
      </c>
      <c r="BG13" s="128"/>
      <c r="BH13" s="128"/>
    </row>
    <row r="14" s="57" customFormat="1" ht="14.25" hidden="1" customHeight="1">
      <c r="A14" s="132"/>
      <c r="B14" s="132"/>
      <c r="C14" s="132"/>
      <c r="D14" s="132"/>
      <c r="E14" s="490"/>
      <c r="F14" s="490"/>
      <c r="G14" s="490"/>
      <c r="H14" s="490"/>
      <c r="I14" s="167"/>
      <c r="J14" s="132"/>
      <c r="K14" s="132"/>
      <c r="L14" s="213"/>
      <c r="M14" s="586"/>
      <c r="N14" s="586"/>
      <c r="O14" s="586"/>
      <c r="P14" s="131"/>
      <c r="Q14" s="131"/>
      <c r="R14" s="497"/>
      <c r="S14" s="582"/>
      <c r="T14" s="583"/>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4"/>
      <c r="AY14" s="584"/>
      <c r="AZ14" s="584"/>
      <c r="BA14" s="584"/>
      <c r="BB14" s="584"/>
      <c r="BC14" s="585"/>
      <c r="BE14" s="128"/>
      <c r="BF14" s="128" t="str">
        <f t="shared" si="35"/>
        <v/>
      </c>
      <c r="BG14" s="128"/>
      <c r="BH14" s="128"/>
    </row>
    <row r="15" s="57" customFormat="1" ht="14.25" hidden="1" customHeight="1">
      <c r="A15" s="132"/>
      <c r="B15" s="132"/>
      <c r="C15" s="132"/>
      <c r="D15" s="132"/>
      <c r="E15" s="490"/>
      <c r="F15" s="490"/>
      <c r="G15" s="490"/>
      <c r="H15" s="479"/>
      <c r="I15" s="132"/>
      <c r="J15" s="132"/>
      <c r="K15" s="132"/>
      <c r="L15" s="213"/>
      <c r="M15" s="463"/>
      <c r="N15" s="463"/>
      <c r="O15" s="57"/>
      <c r="P15" s="166"/>
      <c r="Q15" s="522"/>
      <c r="R15" s="629"/>
      <c r="S15" s="582"/>
      <c r="T15" s="583"/>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4"/>
      <c r="BC15" s="585"/>
      <c r="BE15" s="128"/>
      <c r="BF15" s="128" t="str">
        <f t="shared" si="35"/>
        <v/>
      </c>
      <c r="BG15" s="128"/>
      <c r="BH15" s="128"/>
    </row>
    <row r="16" s="57" customFormat="1" ht="14.25" hidden="1" customHeight="1">
      <c r="A16" s="132"/>
      <c r="B16" s="132"/>
      <c r="C16" s="132"/>
      <c r="D16" s="132"/>
      <c r="E16" s="490"/>
      <c r="F16" s="490"/>
      <c r="G16" s="479"/>
      <c r="H16" s="132"/>
      <c r="I16" s="132"/>
      <c r="J16" s="132"/>
      <c r="K16" s="132"/>
      <c r="L16" s="213"/>
      <c r="M16" s="463"/>
      <c r="N16" s="463"/>
      <c r="P16" s="166"/>
      <c r="Q16" s="522"/>
      <c r="R16" s="166"/>
      <c r="S16" s="527"/>
      <c r="T16" s="530"/>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29"/>
      <c r="AY16" s="529"/>
      <c r="AZ16" s="529"/>
      <c r="BA16" s="529"/>
      <c r="BB16" s="529"/>
      <c r="BC16" s="529"/>
      <c r="BE16" s="128"/>
      <c r="BF16" s="128" t="str">
        <f t="shared" si="35"/>
        <v/>
      </c>
      <c r="BG16" s="128"/>
      <c r="BH16" s="128"/>
    </row>
    <row r="17" s="57" customFormat="1" ht="14.25" hidden="1" customHeight="1">
      <c r="A17" s="132"/>
      <c r="B17" s="132"/>
      <c r="C17" s="132"/>
      <c r="D17" s="132"/>
      <c r="E17" s="490"/>
      <c r="F17" s="479"/>
      <c r="G17" s="132"/>
      <c r="H17" s="132"/>
      <c r="I17" s="132"/>
      <c r="J17" s="132"/>
      <c r="K17" s="132"/>
      <c r="L17" s="213"/>
      <c r="M17" s="526"/>
      <c r="N17" s="526"/>
      <c r="P17" s="166"/>
      <c r="Q17" s="522"/>
      <c r="R17" s="166"/>
      <c r="S17" s="527"/>
      <c r="T17" s="530" t="s">
        <v>405</v>
      </c>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529"/>
      <c r="AZ17" s="529"/>
      <c r="BA17" s="529"/>
      <c r="BB17" s="529"/>
      <c r="BC17" s="529"/>
      <c r="BE17" s="128"/>
      <c r="BF17" s="128" t="str">
        <f t="shared" si="35"/>
        <v xml:space="preserve">Добавить централизованную систему для дифференциации</v>
      </c>
      <c r="BG17" s="128"/>
      <c r="BH17" s="128"/>
    </row>
    <row r="18" s="57" customFormat="1" ht="14.25" hidden="1" customHeight="1">
      <c r="A18" s="132"/>
      <c r="B18" s="132"/>
      <c r="C18" s="132"/>
      <c r="D18" s="132"/>
      <c r="E18" s="479"/>
      <c r="F18" s="132"/>
      <c r="G18" s="132"/>
      <c r="H18" s="132"/>
      <c r="I18" s="132"/>
      <c r="J18" s="132"/>
      <c r="K18" s="132"/>
      <c r="L18" s="213"/>
      <c r="M18" s="526"/>
      <c r="N18" s="526"/>
      <c r="O18" s="57"/>
      <c r="P18" s="166"/>
      <c r="Q18" s="522"/>
      <c r="R18" s="166"/>
      <c r="S18" s="527"/>
      <c r="T18" s="530" t="s">
        <v>406</v>
      </c>
      <c r="U18" s="529"/>
      <c r="V18" s="529"/>
      <c r="W18" s="529"/>
      <c r="X18" s="529"/>
      <c r="Y18" s="529"/>
      <c r="Z18" s="529"/>
      <c r="AA18" s="529"/>
      <c r="AB18" s="529"/>
      <c r="AC18" s="529"/>
      <c r="AD18" s="529"/>
      <c r="AE18" s="529"/>
      <c r="AF18" s="529"/>
      <c r="AG18" s="529"/>
      <c r="AH18" s="529"/>
      <c r="AI18" s="529"/>
      <c r="AJ18" s="529"/>
      <c r="AK18" s="529"/>
      <c r="AL18" s="529"/>
      <c r="AM18" s="529"/>
      <c r="AN18" s="529"/>
      <c r="AO18" s="529"/>
      <c r="AP18" s="529"/>
      <c r="AQ18" s="529"/>
      <c r="AR18" s="529"/>
      <c r="AS18" s="529"/>
      <c r="AT18" s="529"/>
      <c r="AU18" s="529"/>
      <c r="AV18" s="529"/>
      <c r="AW18" s="529"/>
      <c r="AX18" s="529"/>
      <c r="AY18" s="529"/>
      <c r="AZ18" s="529"/>
      <c r="BA18" s="529"/>
      <c r="BB18" s="529"/>
      <c r="BC18" s="529"/>
      <c r="BE18" s="128"/>
      <c r="BF18" s="128" t="str">
        <f t="shared" si="35"/>
        <v xml:space="preserve">Добавить территорию для дифференциации</v>
      </c>
      <c r="BG18" s="128"/>
      <c r="BH18" s="128"/>
    </row>
    <row r="19" ht="14.25" hidden="1" customHeight="1">
      <c r="AC19" s="50"/>
      <c r="BA19" s="50"/>
    </row>
    <row r="20" ht="14.25" hidden="1" customHeight="1">
      <c r="AD20" s="529" t="s">
        <v>54</v>
      </c>
      <c r="AE20" s="630"/>
      <c r="AF20" s="529">
        <v>1</v>
      </c>
      <c r="AG20" s="631"/>
      <c r="AH20" s="529" t="s">
        <v>54</v>
      </c>
      <c r="AI20" s="630"/>
      <c r="AJ20" s="529">
        <v>1</v>
      </c>
      <c r="AK20" s="631"/>
      <c r="AL20" s="529" t="s">
        <v>54</v>
      </c>
      <c r="AM20" s="632"/>
      <c r="AN20" s="529">
        <v>1</v>
      </c>
      <c r="AO20" s="133"/>
      <c r="AP20" s="529" t="s">
        <v>54</v>
      </c>
      <c r="AQ20" s="632"/>
      <c r="AR20" s="529">
        <v>1</v>
      </c>
      <c r="AS20" s="133"/>
      <c r="AT20" s="506"/>
      <c r="AU20" s="573"/>
      <c r="AV20" s="506"/>
      <c r="AW20" s="573"/>
      <c r="AX20" s="636"/>
      <c r="AY20" s="637" t="s">
        <v>56</v>
      </c>
      <c r="AZ20" s="636"/>
      <c r="BA20" s="637" t="s">
        <v>56</v>
      </c>
    </row>
    <row r="21" ht="14.25" hidden="1" customHeight="1">
      <c r="BD21" s="130"/>
      <c r="BE21" s="130"/>
      <c r="BF21" s="130"/>
      <c r="BG21" s="130"/>
      <c r="BH21" s="130"/>
    </row>
    <row r="22" ht="14.25" hidden="1" customHeight="1">
      <c r="O22" s="535" t="s">
        <v>407</v>
      </c>
      <c r="Z22" s="606"/>
      <c r="AB22" s="606"/>
      <c r="AC22" s="50"/>
      <c r="AX22" s="606"/>
      <c r="AZ22" s="606"/>
      <c r="BA22" s="50"/>
      <c r="BD22" s="130"/>
      <c r="BE22" s="130"/>
      <c r="BF22" s="130"/>
      <c r="BG22" s="130"/>
      <c r="BH22" s="130"/>
    </row>
    <row r="23" ht="14.25" hidden="1" customHeight="1">
      <c r="AC23" s="50"/>
      <c r="BA23" s="50"/>
      <c r="BD23" s="130"/>
      <c r="BE23" s="130"/>
      <c r="BF23" s="130"/>
      <c r="BG23" s="130"/>
      <c r="BH23" s="130"/>
    </row>
    <row r="24" s="638" customFormat="1" ht="14.25" hidden="1" customHeight="1">
      <c r="M24" s="639"/>
      <c r="N24" s="639"/>
      <c r="O24" s="638" t="s">
        <v>408</v>
      </c>
      <c r="P24" s="639"/>
      <c r="Q24" s="640"/>
      <c r="R24" s="640"/>
      <c r="AA24" s="638" t="s">
        <v>410</v>
      </c>
      <c r="AC24" s="638" t="s">
        <v>411</v>
      </c>
      <c r="AD24" s="638" t="s">
        <v>458</v>
      </c>
      <c r="AH24" s="638" t="s">
        <v>458</v>
      </c>
      <c r="AK24" s="638" t="s">
        <v>494</v>
      </c>
      <c r="AL24" s="638" t="s">
        <v>458</v>
      </c>
      <c r="AP24" s="638" t="s">
        <v>458</v>
      </c>
      <c r="AY24" s="638" t="s">
        <v>410</v>
      </c>
      <c r="BA24" s="638" t="s">
        <v>411</v>
      </c>
      <c r="BD24" s="641"/>
      <c r="BE24" s="641"/>
      <c r="BF24" s="641"/>
      <c r="BG24" s="641"/>
      <c r="BH24" s="641"/>
    </row>
    <row r="25" ht="14.25" hidden="1" customHeight="1">
      <c r="O25" s="480"/>
      <c r="BD25" s="130"/>
      <c r="BE25" s="130"/>
      <c r="BF25" s="130"/>
      <c r="BG25" s="130"/>
      <c r="BH25" s="130"/>
    </row>
    <row r="26" ht="14.25" hidden="1" customHeight="1">
      <c r="O26" s="480"/>
      <c r="BD26" s="130"/>
      <c r="BE26" s="130"/>
      <c r="BF26" s="130"/>
      <c r="BG26" s="130"/>
      <c r="BH26" s="130"/>
    </row>
    <row r="27" ht="14.25" customHeight="1">
      <c r="Q27" s="642"/>
      <c r="R27" s="537"/>
      <c r="S27" s="538"/>
      <c r="T27" s="89"/>
      <c r="U27" s="8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row>
    <row r="28" ht="14.25" customHeight="1">
      <c r="Q28" s="642"/>
      <c r="R28" s="537"/>
      <c r="S28" s="451" t="str">
        <f>IF(TEMPLATE_GROUP="P",PT_P_FORM_VOTV_5_NAME_FORM,PT_R_FORM_VOTV_17_NAME_FORM)</f>
        <v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241"/>
    </row>
    <row r="29" ht="14.25" customHeight="1">
      <c r="Q29" s="642"/>
      <c r="R29" s="537"/>
      <c r="S29" s="302" t="str">
        <f>IF(org=0,"Не определено",org)</f>
        <v xml:space="preserve">филиал ПАО "ОГК-2" - Адлерская ТЭС</v>
      </c>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241"/>
    </row>
    <row r="30" ht="14.25" hidden="1" customHeight="1">
      <c r="Q30" s="642"/>
      <c r="R30" s="537"/>
      <c r="S30" s="538"/>
      <c r="T30" s="89"/>
      <c r="U30" s="8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0"/>
    </row>
    <row r="31" s="185" customFormat="1" ht="25.5" hidden="1" customHeight="1">
      <c r="A31" s="150"/>
      <c r="B31" s="150"/>
      <c r="C31" s="150"/>
      <c r="D31" s="150"/>
      <c r="E31" s="150"/>
      <c r="F31" s="150"/>
      <c r="G31" s="150"/>
      <c r="H31" s="150"/>
      <c r="I31" s="150"/>
      <c r="J31" s="150"/>
      <c r="K31" s="150"/>
      <c r="L31" s="480"/>
      <c r="M31" s="150"/>
      <c r="N31" s="150"/>
      <c r="O31" s="150"/>
      <c r="P31" s="150"/>
      <c r="Q31" s="150"/>
      <c r="S31" s="540" t="s">
        <v>38</v>
      </c>
      <c r="T31" s="540"/>
      <c r="U31" s="541"/>
      <c r="V31" s="542" t="str">
        <f>IF(TITLE_NAME_OR_PR_CHANGE="",IF(TITLE_NAME_OR_PR="","",TITLE_NAME_OR_PR),TITLE_NAME_OR_PR_CHANGE)</f>
        <v/>
      </c>
      <c r="W31" s="542"/>
      <c r="X31" s="542"/>
      <c r="Y31" s="542"/>
      <c r="Z31" s="542"/>
      <c r="AA31" s="542"/>
      <c r="AB31" s="542"/>
      <c r="AC31" s="50"/>
      <c r="AD31" s="542" t="str">
        <f>IF(TITLE_NAME_OR_PR_CHANGE="",IF(TITLE_NAME_OR_PR="","",TITLE_NAME_OR_PR),TITLE_NAME_OR_PR_CHANGE)</f>
        <v/>
      </c>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0"/>
      <c r="BB31" s="50"/>
      <c r="BC31" s="543"/>
      <c r="BD31" s="128"/>
      <c r="BE31" s="128"/>
      <c r="BF31" s="128"/>
      <c r="BG31" s="128"/>
      <c r="BH31" s="128"/>
    </row>
    <row r="32" s="185" customFormat="1" ht="18.75" hidden="1" customHeight="1">
      <c r="A32" s="150"/>
      <c r="B32" s="150"/>
      <c r="C32" s="150"/>
      <c r="D32" s="150"/>
      <c r="E32" s="150"/>
      <c r="F32" s="150"/>
      <c r="G32" s="150"/>
      <c r="H32" s="150"/>
      <c r="I32" s="150"/>
      <c r="J32" s="150"/>
      <c r="K32" s="150"/>
      <c r="L32" s="480"/>
      <c r="M32" s="150"/>
      <c r="N32" s="150"/>
      <c r="O32" s="150"/>
      <c r="P32" s="150"/>
      <c r="Q32" s="150"/>
      <c r="S32" s="540" t="s">
        <v>413</v>
      </c>
      <c r="T32" s="540"/>
      <c r="U32" s="541"/>
      <c r="V32" s="544" t="str">
        <f>IF(TITLE_DATE_PR_CHANGE="",IF(TITLE_DATE_PR="","",TITLE_DATE_PR),TITLE_DATE_PR_CHANGE)</f>
        <v/>
      </c>
      <c r="W32" s="544"/>
      <c r="X32" s="544"/>
      <c r="Y32" s="544"/>
      <c r="Z32" s="544"/>
      <c r="AA32" s="544"/>
      <c r="AB32" s="544"/>
      <c r="AC32" s="50"/>
      <c r="AD32" s="544" t="str">
        <f>IF(TITLE_DATE_PR_CHANGE="",IF(TITLE_DATE_PR="","",TITLE_DATE_PR),TITLE_DATE_PR_CHANGE)</f>
        <v/>
      </c>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0"/>
      <c r="BB32" s="50"/>
      <c r="BC32" s="543"/>
      <c r="BD32" s="128"/>
      <c r="BE32" s="128"/>
      <c r="BF32" s="128"/>
      <c r="BG32" s="128"/>
      <c r="BH32" s="128"/>
    </row>
    <row r="33" s="185" customFormat="1" ht="18.75" hidden="1" customHeight="1">
      <c r="A33" s="150"/>
      <c r="B33" s="150"/>
      <c r="C33" s="150"/>
      <c r="D33" s="150"/>
      <c r="E33" s="150"/>
      <c r="F33" s="150"/>
      <c r="G33" s="150"/>
      <c r="H33" s="150"/>
      <c r="I33" s="150"/>
      <c r="J33" s="150"/>
      <c r="K33" s="150"/>
      <c r="L33" s="480"/>
      <c r="M33" s="150"/>
      <c r="N33" s="150"/>
      <c r="O33" s="150"/>
      <c r="P33" s="150"/>
      <c r="Q33" s="150"/>
      <c r="S33" s="540" t="s">
        <v>414</v>
      </c>
      <c r="T33" s="540"/>
      <c r="U33" s="541"/>
      <c r="V33" s="542" t="str">
        <f>IF(TITLE_NUMBER_PR_CHANGE="",IF(TITLE_NUMBER_PR="","",TITLE_NUMBER_PR),TITLE_NUMBER_PR_CHANGE)</f>
        <v/>
      </c>
      <c r="W33" s="542"/>
      <c r="X33" s="542"/>
      <c r="Y33" s="542"/>
      <c r="Z33" s="542"/>
      <c r="AA33" s="542"/>
      <c r="AB33" s="542"/>
      <c r="AC33" s="50"/>
      <c r="AD33" s="542" t="str">
        <f>IF(TITLE_NUMBER_PR_CHANGE="",IF(TITLE_NUMBER_PR="","",TITLE_NUMBER_PR),TITLE_NUMBER_PR_CHANGE)</f>
        <v/>
      </c>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0"/>
      <c r="BB33" s="50"/>
      <c r="BC33" s="543"/>
      <c r="BD33" s="128"/>
      <c r="BE33" s="128"/>
      <c r="BF33" s="128"/>
      <c r="BG33" s="128"/>
      <c r="BH33" s="128"/>
    </row>
    <row r="34" s="185" customFormat="1" ht="18.75" hidden="1" customHeight="1">
      <c r="A34" s="150"/>
      <c r="B34" s="150"/>
      <c r="C34" s="150"/>
      <c r="D34" s="150"/>
      <c r="E34" s="150"/>
      <c r="F34" s="150"/>
      <c r="G34" s="150"/>
      <c r="H34" s="150"/>
      <c r="I34" s="150"/>
      <c r="J34" s="150"/>
      <c r="K34" s="150"/>
      <c r="L34" s="480"/>
      <c r="M34" s="150"/>
      <c r="N34" s="150"/>
      <c r="O34" s="150"/>
      <c r="P34" s="150"/>
      <c r="Q34" s="150"/>
      <c r="S34" s="540" t="s">
        <v>39</v>
      </c>
      <c r="T34" s="540"/>
      <c r="U34" s="541"/>
      <c r="V34" s="542" t="str">
        <f>IF(TITLE_IST_PUB_CHANGE="",IF(TITLE_IST_PUB="","",TITLE_IST_PUB),TITLE_IST_PUB_CHANGE)</f>
        <v/>
      </c>
      <c r="W34" s="542"/>
      <c r="X34" s="542"/>
      <c r="Y34" s="542"/>
      <c r="Z34" s="542"/>
      <c r="AA34" s="542"/>
      <c r="AB34" s="542"/>
      <c r="AC34" s="50"/>
      <c r="AD34" s="542" t="str">
        <f>IF(TITLE_IST_PUB_CHANGE="",IF(TITLE_IST_PUB="","",TITLE_IST_PUB),TITLE_IST_PUB_CHANGE)</f>
        <v/>
      </c>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0"/>
      <c r="BB34" s="50"/>
      <c r="BC34" s="543"/>
      <c r="BD34" s="128"/>
      <c r="BE34" s="128"/>
      <c r="BF34" s="128"/>
      <c r="BG34" s="128"/>
      <c r="BH34" s="128"/>
    </row>
    <row r="35" ht="14.25" hidden="1" customHeight="1">
      <c r="Q35" s="642"/>
      <c r="R35" s="537"/>
      <c r="S35" s="538"/>
      <c r="T35" s="89"/>
      <c r="U35" s="8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0"/>
    </row>
    <row r="36" s="185" customFormat="1" ht="18.75" hidden="1" customHeight="1">
      <c r="A36" s="150"/>
      <c r="B36" s="150"/>
      <c r="C36" s="150"/>
      <c r="D36" s="150"/>
      <c r="E36" s="150"/>
      <c r="F36" s="150"/>
      <c r="G36" s="150"/>
      <c r="H36" s="150"/>
      <c r="I36" s="150"/>
      <c r="J36" s="150"/>
      <c r="K36" s="150"/>
      <c r="L36" s="480"/>
      <c r="M36" s="150"/>
      <c r="N36" s="150"/>
      <c r="O36" s="150"/>
      <c r="P36" s="150"/>
      <c r="Q36" s="150"/>
      <c r="S36" s="540" t="s">
        <v>413</v>
      </c>
      <c r="T36" s="540"/>
      <c r="U36" s="541"/>
      <c r="V36" s="544" t="str">
        <f>IF(TITLE_DATE_PR_CHANGE="",IF(TITLE_DATE_PR="","",TITLE_DATE_PR),TITLE_DATE_PR_CHANGE)</f>
        <v/>
      </c>
      <c r="W36" s="544"/>
      <c r="X36" s="544"/>
      <c r="Y36" s="544"/>
      <c r="Z36" s="544"/>
      <c r="AA36" s="544"/>
      <c r="AB36" s="544"/>
      <c r="AC36" s="50"/>
      <c r="AD36" s="544" t="str">
        <f>IF(TITLE_DATE_PR_CHANGE="",IF(TITLE_DATE_PR="","",TITLE_DATE_PR),TITLE_DATE_PR_CHANGE)</f>
        <v/>
      </c>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0"/>
      <c r="BB36" s="50"/>
      <c r="BC36" s="543"/>
      <c r="BD36" s="128"/>
      <c r="BE36" s="128"/>
      <c r="BF36" s="128"/>
      <c r="BG36" s="128"/>
      <c r="BH36" s="128"/>
    </row>
    <row r="37" s="185" customFormat="1" ht="18.75" hidden="1" customHeight="1">
      <c r="A37" s="150"/>
      <c r="B37" s="150"/>
      <c r="C37" s="150"/>
      <c r="D37" s="150"/>
      <c r="E37" s="150"/>
      <c r="F37" s="150"/>
      <c r="G37" s="150"/>
      <c r="H37" s="150"/>
      <c r="I37" s="150"/>
      <c r="J37" s="150"/>
      <c r="K37" s="150"/>
      <c r="L37" s="480"/>
      <c r="M37" s="150"/>
      <c r="N37" s="150"/>
      <c r="O37" s="150"/>
      <c r="P37" s="150"/>
      <c r="Q37" s="150"/>
      <c r="S37" s="540" t="s">
        <v>414</v>
      </c>
      <c r="T37" s="540"/>
      <c r="U37" s="541"/>
      <c r="V37" s="542" t="str">
        <f>IF(TITLE_NUMBER_PR_CHANGE="",IF(TITLE_NUMBER_PR="","",TITLE_NUMBER_PR),TITLE_NUMBER_PR_CHANGE)</f>
        <v/>
      </c>
      <c r="W37" s="542"/>
      <c r="X37" s="542"/>
      <c r="Y37" s="542"/>
      <c r="Z37" s="542"/>
      <c r="AA37" s="542"/>
      <c r="AB37" s="542"/>
      <c r="AC37" s="50"/>
      <c r="AD37" s="542" t="str">
        <f>IF(TITLE_NUMBER_PR_CHANGE="",IF(TITLE_NUMBER_PR="","",TITLE_NUMBER_PR),TITLE_NUMBER_PR_CHANGE)</f>
        <v/>
      </c>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0"/>
      <c r="BB37" s="50"/>
      <c r="BC37" s="543"/>
      <c r="BD37" s="128"/>
      <c r="BE37" s="128"/>
      <c r="BF37" s="128"/>
      <c r="BG37" s="128"/>
      <c r="BH37" s="128"/>
    </row>
    <row r="38" s="185" customFormat="1" ht="0" customHeight="1">
      <c r="A38" s="150"/>
      <c r="B38" s="150"/>
      <c r="C38" s="150"/>
      <c r="D38" s="150"/>
      <c r="E38" s="150"/>
      <c r="F38" s="150"/>
      <c r="G38" s="150"/>
      <c r="H38" s="150"/>
      <c r="I38" s="150"/>
      <c r="J38" s="150"/>
      <c r="K38" s="150"/>
      <c r="L38" s="480"/>
      <c r="M38" s="150"/>
      <c r="N38" s="150"/>
      <c r="O38" s="150"/>
      <c r="P38" s="150"/>
      <c r="Q38" s="150"/>
      <c r="S38" s="50"/>
      <c r="T38" s="50"/>
      <c r="U38" s="139"/>
      <c r="V38" s="50"/>
      <c r="W38" s="50"/>
      <c r="X38" s="50"/>
      <c r="Y38" s="50"/>
      <c r="Z38" s="50"/>
      <c r="AA38" s="50"/>
      <c r="AB38" s="50"/>
      <c r="AC38" s="57" t="s">
        <v>417</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417</v>
      </c>
      <c r="BD38" s="128"/>
      <c r="BE38" s="128"/>
      <c r="BF38" s="128"/>
      <c r="BG38" s="128"/>
      <c r="BH38" s="128"/>
    </row>
    <row r="39" ht="14.25" customHeight="1">
      <c r="Q39" s="642"/>
      <c r="R39" s="537"/>
      <c r="S39" s="538"/>
      <c r="T39" s="89"/>
      <c r="U39" s="545"/>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row>
    <row r="40" ht="14.25" customHeight="1">
      <c r="Q40" s="642"/>
      <c r="R40" s="537"/>
      <c r="S40" s="156" t="s">
        <v>288</v>
      </c>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t="s">
        <v>289</v>
      </c>
    </row>
    <row r="41" ht="14.25" customHeight="1">
      <c r="Q41" s="642"/>
      <c r="R41" s="537"/>
      <c r="S41" s="483" t="s">
        <v>85</v>
      </c>
      <c r="T41" s="347" t="s">
        <v>495</v>
      </c>
      <c r="U41" s="547"/>
      <c r="V41" s="548" t="s">
        <v>419</v>
      </c>
      <c r="W41" s="549"/>
      <c r="X41" s="549"/>
      <c r="Y41" s="549"/>
      <c r="Z41" s="549"/>
      <c r="AA41" s="549"/>
      <c r="AB41" s="550"/>
      <c r="AC41" s="551" t="s">
        <v>420</v>
      </c>
      <c r="AD41" s="644" t="s">
        <v>512</v>
      </c>
      <c r="AE41" s="574"/>
      <c r="AF41" s="574"/>
      <c r="AG41" s="645"/>
      <c r="AH41" s="644" t="s">
        <v>513</v>
      </c>
      <c r="AI41" s="574"/>
      <c r="AJ41" s="574"/>
      <c r="AK41" s="645"/>
      <c r="AL41" s="644" t="s">
        <v>514</v>
      </c>
      <c r="AM41" s="574"/>
      <c r="AN41" s="574"/>
      <c r="AO41" s="645"/>
      <c r="AP41" s="644" t="s">
        <v>499</v>
      </c>
      <c r="AQ41" s="574"/>
      <c r="AR41" s="574"/>
      <c r="AS41" s="645"/>
      <c r="AT41" s="548" t="s">
        <v>419</v>
      </c>
      <c r="AU41" s="549"/>
      <c r="AV41" s="549"/>
      <c r="AW41" s="549"/>
      <c r="AX41" s="549"/>
      <c r="AY41" s="549"/>
      <c r="AZ41" s="550"/>
      <c r="BA41" s="551" t="s">
        <v>420</v>
      </c>
      <c r="BB41" s="552" t="s">
        <v>422</v>
      </c>
      <c r="BC41" s="156"/>
    </row>
    <row r="42" ht="33.75" customHeight="1">
      <c r="Q42" s="642"/>
      <c r="R42" s="537"/>
      <c r="S42" s="483"/>
      <c r="T42" s="347"/>
      <c r="U42" s="553"/>
      <c r="V42" s="303" t="s">
        <v>500</v>
      </c>
      <c r="W42" s="304"/>
      <c r="X42" s="303" t="s">
        <v>501</v>
      </c>
      <c r="Y42" s="304"/>
      <c r="Z42" s="303" t="s">
        <v>502</v>
      </c>
      <c r="AA42" s="607"/>
      <c r="AB42" s="304"/>
      <c r="AC42" s="555"/>
      <c r="AD42" s="647"/>
      <c r="AE42" s="648"/>
      <c r="AF42" s="648"/>
      <c r="AG42" s="649"/>
      <c r="AH42" s="647"/>
      <c r="AI42" s="648"/>
      <c r="AJ42" s="648"/>
      <c r="AK42" s="649"/>
      <c r="AL42" s="647"/>
      <c r="AM42" s="648"/>
      <c r="AN42" s="648"/>
      <c r="AO42" s="649"/>
      <c r="AP42" s="647"/>
      <c r="AQ42" s="648"/>
      <c r="AR42" s="648"/>
      <c r="AS42" s="649"/>
      <c r="AT42" s="303" t="s">
        <v>515</v>
      </c>
      <c r="AU42" s="304"/>
      <c r="AV42" s="303" t="s">
        <v>516</v>
      </c>
      <c r="AW42" s="304"/>
      <c r="AX42" s="303" t="s">
        <v>502</v>
      </c>
      <c r="AY42" s="607"/>
      <c r="AZ42" s="304"/>
      <c r="BA42" s="555"/>
      <c r="BB42" s="556"/>
      <c r="BC42" s="156"/>
    </row>
    <row r="43" ht="14.25" customHeight="1">
      <c r="Q43" s="642"/>
      <c r="R43" s="537"/>
      <c r="S43" s="483"/>
      <c r="T43" s="347"/>
      <c r="U43" s="553"/>
      <c r="V43" s="309"/>
      <c r="W43" s="310"/>
      <c r="X43" s="309"/>
      <c r="Y43" s="310"/>
      <c r="Z43" s="309"/>
      <c r="AA43" s="608"/>
      <c r="AB43" s="310"/>
      <c r="AC43" s="555"/>
      <c r="AD43" s="647"/>
      <c r="AE43" s="648"/>
      <c r="AF43" s="648"/>
      <c r="AG43" s="649"/>
      <c r="AH43" s="647"/>
      <c r="AI43" s="648"/>
      <c r="AJ43" s="648"/>
      <c r="AK43" s="649"/>
      <c r="AL43" s="647"/>
      <c r="AM43" s="648"/>
      <c r="AN43" s="648"/>
      <c r="AO43" s="649"/>
      <c r="AP43" s="647"/>
      <c r="AQ43" s="648"/>
      <c r="AR43" s="648"/>
      <c r="AS43" s="649"/>
      <c r="AT43" s="309"/>
      <c r="AU43" s="310"/>
      <c r="AV43" s="309"/>
      <c r="AW43" s="310"/>
      <c r="AX43" s="309"/>
      <c r="AY43" s="608"/>
      <c r="AZ43" s="310"/>
      <c r="BA43" s="555"/>
      <c r="BB43" s="556"/>
      <c r="BC43" s="156"/>
    </row>
    <row r="44" ht="14.25" customHeight="1">
      <c r="A44" s="150"/>
      <c r="B44" s="150" t="s">
        <v>137</v>
      </c>
      <c r="C44" s="150" t="s">
        <v>138</v>
      </c>
      <c r="D44" s="150" t="s">
        <v>139</v>
      </c>
      <c r="E44" s="480" t="s">
        <v>427</v>
      </c>
      <c r="F44" s="480" t="s">
        <v>428</v>
      </c>
      <c r="G44" s="480" t="s">
        <v>429</v>
      </c>
      <c r="H44" s="480" t="s">
        <v>430</v>
      </c>
      <c r="I44" s="480" t="s">
        <v>431</v>
      </c>
      <c r="J44" s="480" t="s">
        <v>432</v>
      </c>
      <c r="K44" s="480" t="s">
        <v>433</v>
      </c>
      <c r="L44" s="480" t="s">
        <v>408</v>
      </c>
      <c r="Q44" s="642"/>
      <c r="R44" s="537"/>
      <c r="S44" s="483"/>
      <c r="T44" s="347"/>
      <c r="U44" s="557"/>
      <c r="V44" s="347" t="s">
        <v>468</v>
      </c>
      <c r="W44" s="347" t="s">
        <v>469</v>
      </c>
      <c r="X44" s="347" t="s">
        <v>468</v>
      </c>
      <c r="Y44" s="347" t="s">
        <v>469</v>
      </c>
      <c r="Z44" s="247" t="s">
        <v>436</v>
      </c>
      <c r="AA44" s="414" t="s">
        <v>437</v>
      </c>
      <c r="AB44" s="416"/>
      <c r="AC44" s="559"/>
      <c r="AD44" s="652"/>
      <c r="AE44" s="653"/>
      <c r="AF44" s="653"/>
      <c r="AG44" s="654"/>
      <c r="AH44" s="652"/>
      <c r="AI44" s="653"/>
      <c r="AJ44" s="653"/>
      <c r="AK44" s="654"/>
      <c r="AL44" s="652"/>
      <c r="AM44" s="653"/>
      <c r="AN44" s="653"/>
      <c r="AO44" s="654"/>
      <c r="AP44" s="652"/>
      <c r="AQ44" s="653"/>
      <c r="AR44" s="653"/>
      <c r="AS44" s="654"/>
      <c r="AT44" s="347" t="s">
        <v>468</v>
      </c>
      <c r="AU44" s="347" t="s">
        <v>469</v>
      </c>
      <c r="AV44" s="347" t="s">
        <v>468</v>
      </c>
      <c r="AW44" s="347" t="s">
        <v>469</v>
      </c>
      <c r="AX44" s="247" t="s">
        <v>436</v>
      </c>
      <c r="AY44" s="414" t="s">
        <v>437</v>
      </c>
      <c r="AZ44" s="416"/>
      <c r="BA44" s="559"/>
      <c r="BB44" s="560"/>
      <c r="BC44" s="156"/>
    </row>
    <row r="45" s="130" customFormat="1" ht="11.25" hidden="1" customHeight="1">
      <c r="A45" s="150"/>
      <c r="B45" s="150"/>
      <c r="C45" s="150"/>
      <c r="D45" s="150"/>
      <c r="E45" s="150"/>
      <c r="F45" s="150"/>
      <c r="G45" s="150"/>
      <c r="H45" s="150"/>
      <c r="I45" s="150"/>
      <c r="J45" s="150"/>
      <c r="K45" s="150"/>
      <c r="L45" s="480"/>
      <c r="M45" s="61"/>
      <c r="N45" s="61"/>
      <c r="O45" s="61"/>
      <c r="P45" s="586"/>
      <c r="Q45" s="563"/>
      <c r="R45" s="563">
        <v>1</v>
      </c>
      <c r="S45" s="564" t="s">
        <v>111</v>
      </c>
      <c r="T45" s="565" t="s">
        <v>99</v>
      </c>
      <c r="U45" s="566" t="str">
        <f ca="1">OFFSET(U45,0,-1)</f>
        <v>2</v>
      </c>
      <c r="V45" s="567">
        <f ca="1">OFFSET(V45,0,-1)+1</f>
        <v>3</v>
      </c>
      <c r="W45" s="567">
        <f ca="1">OFFSET(W45,0,-1)+1</f>
        <v>4</v>
      </c>
      <c r="X45" s="567">
        <f ca="1">OFFSET(X45,0,-1)+1</f>
        <v>5</v>
      </c>
      <c r="Y45" s="567">
        <f ca="1">OFFSET(Y45,0,-1)+1</f>
        <v>6</v>
      </c>
      <c r="Z45" s="567">
        <f ca="1">OFFSET(Z45,0,-1)+1</f>
        <v>7</v>
      </c>
      <c r="AA45" s="567">
        <f ca="1">OFFSET(AA45,0,-1)+1</f>
        <v>8</v>
      </c>
      <c r="AB45" s="567"/>
      <c r="AC45" s="567">
        <f ca="1">OFFSET(AC45,0,-2)+1</f>
        <v>9</v>
      </c>
      <c r="AD45" s="567">
        <f ca="1">OFFSET(AD45,0,-1)+1</f>
        <v>10</v>
      </c>
      <c r="AE45" s="567"/>
      <c r="AF45" s="567"/>
      <c r="AG45" s="567"/>
      <c r="AH45" s="567"/>
      <c r="AI45" s="567"/>
      <c r="AJ45" s="567"/>
      <c r="AK45" s="567"/>
      <c r="AL45" s="567"/>
      <c r="AM45" s="567"/>
      <c r="AN45" s="567"/>
      <c r="AO45" s="567"/>
      <c r="AP45" s="567"/>
      <c r="AQ45" s="567"/>
      <c r="AR45" s="567"/>
      <c r="AS45" s="567"/>
      <c r="AT45" s="567"/>
      <c r="AU45" s="567"/>
      <c r="AV45" s="567"/>
      <c r="AW45" s="567">
        <f ca="1">OFFSET(AW45,0,-1)+1</f>
        <v>1</v>
      </c>
      <c r="AX45" s="567">
        <f ca="1">OFFSET(AX45,0,-1)+1</f>
        <v>2</v>
      </c>
      <c r="AY45" s="567">
        <f ca="1">OFFSET(AY45,0,-1)+1</f>
        <v>3</v>
      </c>
      <c r="AZ45" s="567"/>
      <c r="BA45" s="567">
        <f ca="1">OFFSET(BA45,0,-2)+1</f>
        <v>4</v>
      </c>
      <c r="BB45" s="566">
        <f ca="1">OFFSET(BB45,0,-1)</f>
        <v>4</v>
      </c>
      <c r="BC45" s="567">
        <f ca="1">OFFSET(BC45,0,-1)+1</f>
        <v>5</v>
      </c>
      <c r="BD45" s="57"/>
      <c r="BE45" s="57"/>
      <c r="BF45" s="57"/>
      <c r="BG45" s="57"/>
      <c r="BH45" s="57"/>
    </row>
    <row r="46" ht="21" customHeight="1">
      <c r="A46" s="478" t="s">
        <v>264</v>
      </c>
      <c r="B46" s="478"/>
      <c r="C46" s="478"/>
      <c r="D46" s="478"/>
      <c r="E46" s="479">
        <v>1</v>
      </c>
      <c r="F46" s="478"/>
      <c r="G46" s="478"/>
      <c r="H46" s="478"/>
      <c r="I46" s="478"/>
      <c r="J46" s="478"/>
      <c r="K46" s="478"/>
      <c r="L46" s="480"/>
      <c r="M46" s="481"/>
      <c r="N46" s="481"/>
      <c r="O46" s="481"/>
      <c r="P46" s="61"/>
      <c r="Q46" s="64"/>
      <c r="R46" s="482"/>
      <c r="S46" s="483">
        <f>INDEX(PT_DIFFERENTIATION_NUM_NTAR,MATCH(A46,PT_DIFFERENTIATION_NTAR_ID,0))</f>
        <v>0</v>
      </c>
      <c r="T46" s="484" t="s">
        <v>125</v>
      </c>
      <c r="U46" s="485"/>
      <c r="V46" s="487"/>
      <c r="W46" s="487"/>
      <c r="X46" s="487"/>
      <c r="Y46" s="487"/>
      <c r="Z46" s="487"/>
      <c r="AA46" s="487"/>
      <c r="AB46" s="487"/>
      <c r="AC46" s="488"/>
      <c r="AD46" s="486" t="str">
        <f>INDEX(PT_DIFFERENTIATION_NTAR,MATCH(A46,PT_DIFFERENTIATION_NTAR_ID,0))</f>
        <v/>
      </c>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8"/>
      <c r="BC46"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8"/>
      <c r="BF46" s="128" t="str">
        <f t="shared" si="35"/>
        <v xml:space="preserve">Наименование тарифа</v>
      </c>
      <c r="BG46" s="128"/>
      <c r="BH46" s="128"/>
    </row>
    <row r="47" ht="21" customHeight="1">
      <c r="A47" s="478" t="s">
        <v>264</v>
      </c>
      <c r="B47" s="478" t="s">
        <v>265</v>
      </c>
      <c r="C47" s="478"/>
      <c r="D47" s="478"/>
      <c r="E47" s="490"/>
      <c r="F47" s="479">
        <v>1</v>
      </c>
      <c r="G47" s="478"/>
      <c r="H47" s="478"/>
      <c r="I47" s="478"/>
      <c r="J47" s="478"/>
      <c r="K47" s="478"/>
      <c r="L47" s="480"/>
      <c r="M47" s="481"/>
      <c r="N47" s="481"/>
      <c r="O47" s="481"/>
      <c r="P47" s="113"/>
      <c r="Q47" s="610"/>
      <c r="R47" s="492"/>
      <c r="S47" s="483" t="str">
        <f>INDEX(PT_DIFFERENTIATION_NUM_TER,MATCH(B47,PT_DIFFERENTIATION_TER_ID,0))</f>
        <v>.</v>
      </c>
      <c r="T47" s="493" t="s">
        <v>387</v>
      </c>
      <c r="U47" s="485"/>
      <c r="V47" s="487"/>
      <c r="W47" s="487"/>
      <c r="X47" s="487"/>
      <c r="Y47" s="487"/>
      <c r="Z47" s="487"/>
      <c r="AA47" s="487"/>
      <c r="AB47" s="487"/>
      <c r="AC47" s="488"/>
      <c r="AD47" s="486" t="str">
        <f>INDEX(PT_DIFFERENTIATION_TER,MATCH(B47,PT_DIFFERENTIATION_TER_ID,0))</f>
        <v/>
      </c>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8"/>
      <c r="BC47" s="489" t="s">
        <v>388</v>
      </c>
      <c r="BE47" s="128"/>
      <c r="BF47" s="128" t="str">
        <f t="shared" si="35"/>
        <v xml:space="preserve">Территория действия тарифа</v>
      </c>
      <c r="BG47" s="128"/>
      <c r="BH47" s="128"/>
    </row>
    <row r="48" ht="33.75" customHeight="1">
      <c r="A48" s="478" t="s">
        <v>264</v>
      </c>
      <c r="B48" s="478" t="s">
        <v>265</v>
      </c>
      <c r="C48" s="478" t="s">
        <v>266</v>
      </c>
      <c r="D48" s="478"/>
      <c r="E48" s="490"/>
      <c r="F48" s="490"/>
      <c r="G48" s="479">
        <v>1</v>
      </c>
      <c r="H48" s="478"/>
      <c r="I48" s="478"/>
      <c r="J48" s="478"/>
      <c r="K48" s="478"/>
      <c r="L48" s="480"/>
      <c r="M48" s="481"/>
      <c r="N48" s="481"/>
      <c r="O48" s="481"/>
      <c r="P48" s="134"/>
      <c r="Q48" s="610"/>
      <c r="R48" s="492"/>
      <c r="S48" s="483" t="str">
        <f>INDEX(PT_DIFFERENTIATION_NUM_CS,MATCH(C48,PT_DIFFERENTIATION_CS_ID,0))</f>
        <v>..</v>
      </c>
      <c r="T48" s="495" t="s">
        <v>504</v>
      </c>
      <c r="U48" s="485"/>
      <c r="V48" s="487"/>
      <c r="W48" s="487"/>
      <c r="X48" s="487"/>
      <c r="Y48" s="487"/>
      <c r="Z48" s="487"/>
      <c r="AA48" s="487"/>
      <c r="AB48" s="487"/>
      <c r="AC48" s="488"/>
      <c r="AD48" s="486" t="str">
        <f>INDEX(PT_DIFFERENTIATION_CS,MATCH(C48,PT_DIFFERENTIATION_CS_ID,0))</f>
        <v/>
      </c>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8"/>
      <c r="BC48" s="489" t="s">
        <v>505</v>
      </c>
      <c r="BE48" s="128"/>
      <c r="BF48" s="128" t="str">
        <f t="shared" si="35"/>
        <v xml:space="preserve">Наименование централизованной системы водоотведения</v>
      </c>
      <c r="BG48" s="128"/>
      <c r="BH48" s="128"/>
    </row>
    <row r="49" s="57" customFormat="1" ht="0" customHeight="1">
      <c r="A49" s="132" t="s">
        <v>264</v>
      </c>
      <c r="B49" s="132" t="s">
        <v>265</v>
      </c>
      <c r="C49" s="132" t="s">
        <v>266</v>
      </c>
      <c r="D49" s="132" t="s">
        <v>517</v>
      </c>
      <c r="E49" s="490"/>
      <c r="F49" s="490"/>
      <c r="G49" s="490"/>
      <c r="H49" s="479">
        <v>1</v>
      </c>
      <c r="I49" s="132"/>
      <c r="J49" s="132"/>
      <c r="K49" s="132"/>
      <c r="L49" s="213"/>
      <c r="M49" s="463"/>
      <c r="N49" s="463"/>
      <c r="O49" s="463"/>
      <c r="P49" s="671"/>
      <c r="Q49" s="672"/>
      <c r="R49" s="502"/>
      <c r="S49" s="351"/>
      <c r="T49" s="673"/>
      <c r="U49" s="577"/>
      <c r="V49" s="579"/>
      <c r="W49" s="579"/>
      <c r="X49" s="579"/>
      <c r="Y49" s="579"/>
      <c r="Z49" s="579"/>
      <c r="AA49" s="579"/>
      <c r="AB49" s="579"/>
      <c r="AC49" s="580"/>
      <c r="AD49" s="578"/>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80"/>
      <c r="BC49" s="581" t="s">
        <v>392</v>
      </c>
      <c r="BE49" s="128"/>
      <c r="BF49" s="128" t="str">
        <f t="shared" si="35"/>
        <v/>
      </c>
      <c r="BG49" s="128"/>
      <c r="BH49" s="128"/>
    </row>
    <row r="50" s="57" customFormat="1" ht="0" customHeight="1">
      <c r="A50" s="132" t="s">
        <v>264</v>
      </c>
      <c r="B50" s="132" t="s">
        <v>265</v>
      </c>
      <c r="C50" s="132" t="s">
        <v>266</v>
      </c>
      <c r="D50" s="132" t="s">
        <v>517</v>
      </c>
      <c r="E50" s="490"/>
      <c r="F50" s="490"/>
      <c r="G50" s="490"/>
      <c r="H50" s="490"/>
      <c r="I50" s="167" t="str">
        <f>S49&amp;".1"</f>
        <v>.1</v>
      </c>
      <c r="J50" s="132"/>
      <c r="K50" s="132"/>
      <c r="L50" s="213" t="s">
        <v>393</v>
      </c>
      <c r="M50" s="586"/>
      <c r="N50" s="586"/>
      <c r="O50" s="586"/>
      <c r="P50" s="131">
        <v>1</v>
      </c>
      <c r="Q50" s="131"/>
      <c r="R50" s="497"/>
      <c r="S50" s="351"/>
      <c r="T50" s="576"/>
      <c r="U50" s="577"/>
      <c r="V50" s="579"/>
      <c r="W50" s="579"/>
      <c r="X50" s="579"/>
      <c r="Y50" s="579"/>
      <c r="Z50" s="579"/>
      <c r="AA50" s="579"/>
      <c r="AB50" s="579"/>
      <c r="AC50" s="580"/>
      <c r="AD50" s="578"/>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80"/>
      <c r="BC50" s="581"/>
      <c r="BE50" s="128"/>
      <c r="BF50" s="128" t="str">
        <f t="shared" si="35"/>
        <v/>
      </c>
      <c r="BG50" s="128"/>
      <c r="BH50" s="128"/>
    </row>
    <row r="51" s="57" customFormat="1" ht="0" customHeight="1">
      <c r="A51" s="132" t="s">
        <v>264</v>
      </c>
      <c r="B51" s="132" t="s">
        <v>265</v>
      </c>
      <c r="C51" s="132" t="s">
        <v>266</v>
      </c>
      <c r="D51" s="132" t="s">
        <v>517</v>
      </c>
      <c r="E51" s="490"/>
      <c r="F51" s="490"/>
      <c r="G51" s="490"/>
      <c r="H51" s="490"/>
      <c r="I51" s="501"/>
      <c r="J51" s="167" t="str">
        <f>S49&amp;".1"</f>
        <v>.1</v>
      </c>
      <c r="K51" s="132"/>
      <c r="L51" s="213"/>
      <c r="M51" s="586"/>
      <c r="N51" s="586"/>
      <c r="O51" s="586"/>
      <c r="P51" s="131"/>
      <c r="Q51" s="131">
        <v>1</v>
      </c>
      <c r="R51" s="502"/>
      <c r="S51" s="351"/>
      <c r="T51" s="611"/>
      <c r="U51" s="577"/>
      <c r="V51" s="579"/>
      <c r="W51" s="579"/>
      <c r="X51" s="579"/>
      <c r="Y51" s="579"/>
      <c r="Z51" s="579"/>
      <c r="AA51" s="579"/>
      <c r="AB51" s="579"/>
      <c r="AC51" s="580"/>
      <c r="AD51" s="578"/>
      <c r="AE51" s="579"/>
      <c r="AF51" s="579"/>
      <c r="AG51" s="579"/>
      <c r="AH51" s="579"/>
      <c r="AI51" s="579"/>
      <c r="AJ51" s="579"/>
      <c r="AK51" s="579"/>
      <c r="AL51" s="579"/>
      <c r="AM51" s="579"/>
      <c r="AN51" s="683"/>
      <c r="AO51" s="683"/>
      <c r="AP51" s="579"/>
      <c r="AQ51" s="579"/>
      <c r="AR51" s="579"/>
      <c r="AS51" s="579"/>
      <c r="AT51" s="579"/>
      <c r="AU51" s="579"/>
      <c r="AV51" s="579"/>
      <c r="AW51" s="579"/>
      <c r="AX51" s="579"/>
      <c r="AY51" s="579"/>
      <c r="AZ51" s="579"/>
      <c r="BA51" s="579"/>
      <c r="BB51" s="580"/>
      <c r="BC51" s="581"/>
      <c r="BE51" s="128"/>
      <c r="BF51" s="128" t="str">
        <f t="shared" si="35"/>
        <v/>
      </c>
      <c r="BG51" s="128"/>
      <c r="BH51" s="128"/>
    </row>
    <row r="52" ht="11.25" customHeight="1">
      <c r="A52" s="478" t="s">
        <v>264</v>
      </c>
      <c r="B52" s="478" t="s">
        <v>265</v>
      </c>
      <c r="C52" s="478" t="s">
        <v>266</v>
      </c>
      <c r="D52" s="478" t="s">
        <v>517</v>
      </c>
      <c r="E52" s="490"/>
      <c r="F52" s="490"/>
      <c r="G52" s="490"/>
      <c r="H52" s="490"/>
      <c r="I52" s="501"/>
      <c r="J52" s="501"/>
      <c r="K52" s="167" t="str">
        <f>S48&amp;".1"</f>
        <v>...1</v>
      </c>
      <c r="L52" s="480"/>
      <c r="P52" s="131"/>
      <c r="Q52" s="131"/>
      <c r="R52" s="502">
        <v>1</v>
      </c>
      <c r="S52" s="613" t="str">
        <f>$K52</f>
        <v>...1</v>
      </c>
      <c r="T52" s="674"/>
      <c r="U52" s="485"/>
      <c r="V52" s="505"/>
      <c r="W52" s="507"/>
      <c r="X52" s="505"/>
      <c r="Y52" s="507"/>
      <c r="Z52" s="508"/>
      <c r="AA52" s="225" t="s">
        <v>56</v>
      </c>
      <c r="AB52" s="508"/>
      <c r="AC52" s="225" t="s">
        <v>56</v>
      </c>
      <c r="AD52" s="313" t="s">
        <v>56</v>
      </c>
      <c r="AE52" s="615"/>
      <c r="AF52" s="345">
        <v>1</v>
      </c>
      <c r="AG52" s="675"/>
      <c r="AH52" s="225" t="s">
        <v>56</v>
      </c>
      <c r="AI52" s="615"/>
      <c r="AJ52" s="345">
        <v>1</v>
      </c>
      <c r="AK52" s="676" t="s">
        <v>18</v>
      </c>
      <c r="AL52" s="225" t="s">
        <v>56</v>
      </c>
      <c r="AM52" s="303"/>
      <c r="AN52" s="345">
        <v>1</v>
      </c>
      <c r="AO52" s="677"/>
      <c r="AP52" s="678" t="s">
        <v>56</v>
      </c>
      <c r="AQ52" s="616"/>
      <c r="AR52" s="345">
        <v>1</v>
      </c>
      <c r="AS52" s="93" t="s">
        <v>18</v>
      </c>
      <c r="AT52" s="505"/>
      <c r="AU52" s="507"/>
      <c r="AV52" s="505"/>
      <c r="AW52" s="507"/>
      <c r="AX52" s="508"/>
      <c r="AY52" s="225" t="s">
        <v>56</v>
      </c>
      <c r="AZ52" s="508"/>
      <c r="BA52" s="225" t="s">
        <v>56</v>
      </c>
      <c r="BB52" s="569"/>
      <c r="BC52" s="509" t="s">
        <v>489</v>
      </c>
      <c r="BE52" s="128"/>
      <c r="BF52" s="128" t="str">
        <f t="shared" si="35"/>
        <v/>
      </c>
      <c r="BG52" s="128"/>
      <c r="BH52" s="128"/>
    </row>
    <row r="53" ht="11.25" customHeight="1">
      <c r="A53" s="478"/>
      <c r="B53" s="478"/>
      <c r="C53" s="478"/>
      <c r="D53" s="478"/>
      <c r="E53" s="490"/>
      <c r="F53" s="490"/>
      <c r="G53" s="490"/>
      <c r="H53" s="490"/>
      <c r="I53" s="501"/>
      <c r="J53" s="501"/>
      <c r="K53" s="167"/>
      <c r="L53" s="480"/>
      <c r="P53" s="131"/>
      <c r="Q53" s="131"/>
      <c r="R53" s="502"/>
      <c r="S53" s="617"/>
      <c r="T53" s="679"/>
      <c r="U53" s="485"/>
      <c r="V53" s="598"/>
      <c r="W53" s="621"/>
      <c r="X53" s="598"/>
      <c r="Y53" s="621"/>
      <c r="Z53" s="598"/>
      <c r="AA53" s="598"/>
      <c r="AB53" s="598"/>
      <c r="AC53" s="598"/>
      <c r="AD53" s="319"/>
      <c r="AE53" s="615"/>
      <c r="AF53" s="345"/>
      <c r="AG53" s="675"/>
      <c r="AH53" s="225"/>
      <c r="AI53" s="615"/>
      <c r="AJ53" s="345"/>
      <c r="AK53" s="676"/>
      <c r="AL53" s="225"/>
      <c r="AM53" s="309"/>
      <c r="AN53" s="345"/>
      <c r="AO53" s="677"/>
      <c r="AP53" s="680"/>
      <c r="AQ53" s="620"/>
      <c r="AR53" s="179"/>
      <c r="AS53" s="179" t="s">
        <v>490</v>
      </c>
      <c r="AT53" s="598"/>
      <c r="AU53" s="621"/>
      <c r="AV53" s="598"/>
      <c r="AW53" s="621"/>
      <c r="AX53" s="598"/>
      <c r="AY53" s="598"/>
      <c r="AZ53" s="598"/>
      <c r="BA53" s="598"/>
      <c r="BB53" s="619"/>
      <c r="BC53" s="512"/>
      <c r="BE53" s="128"/>
      <c r="BF53" s="128"/>
      <c r="BG53" s="128"/>
      <c r="BH53" s="128"/>
    </row>
    <row r="54" ht="11.25" customHeight="1">
      <c r="A54" s="478" t="s">
        <v>264</v>
      </c>
      <c r="B54" s="478"/>
      <c r="C54" s="478"/>
      <c r="D54" s="478"/>
      <c r="E54" s="490"/>
      <c r="F54" s="490"/>
      <c r="G54" s="490"/>
      <c r="H54" s="490"/>
      <c r="I54" s="501"/>
      <c r="J54" s="501"/>
      <c r="K54" s="167"/>
      <c r="L54" s="480"/>
      <c r="P54" s="131"/>
      <c r="Q54" s="131"/>
      <c r="R54" s="502"/>
      <c r="S54" s="617"/>
      <c r="T54" s="679"/>
      <c r="U54" s="485"/>
      <c r="V54" s="598"/>
      <c r="W54" s="621"/>
      <c r="X54" s="598"/>
      <c r="Y54" s="621"/>
      <c r="Z54" s="598"/>
      <c r="AA54" s="598"/>
      <c r="AB54" s="598"/>
      <c r="AC54" s="598"/>
      <c r="AD54" s="319"/>
      <c r="AE54" s="615"/>
      <c r="AF54" s="345"/>
      <c r="AG54" s="675"/>
      <c r="AH54" s="225"/>
      <c r="AI54" s="615"/>
      <c r="AJ54" s="345"/>
      <c r="AK54" s="676"/>
      <c r="AL54" s="225"/>
      <c r="AM54" s="620"/>
      <c r="AN54" s="681"/>
      <c r="AO54" s="681" t="s">
        <v>510</v>
      </c>
      <c r="AP54" s="179"/>
      <c r="AQ54" s="179"/>
      <c r="AR54" s="179"/>
      <c r="AS54" s="598"/>
      <c r="AT54" s="598"/>
      <c r="AU54" s="621"/>
      <c r="AV54" s="598"/>
      <c r="AW54" s="621"/>
      <c r="AX54" s="598"/>
      <c r="AY54" s="598"/>
      <c r="AZ54" s="598"/>
      <c r="BA54" s="598"/>
      <c r="BB54" s="619"/>
      <c r="BC54" s="512"/>
      <c r="BE54" s="128"/>
      <c r="BF54" s="128"/>
      <c r="BG54" s="128"/>
      <c r="BH54" s="128"/>
    </row>
    <row r="55" ht="11.25" customHeight="1">
      <c r="A55" s="478" t="s">
        <v>264</v>
      </c>
      <c r="B55" s="478"/>
      <c r="C55" s="478"/>
      <c r="D55" s="478"/>
      <c r="E55" s="490"/>
      <c r="F55" s="490"/>
      <c r="G55" s="490"/>
      <c r="H55" s="490"/>
      <c r="I55" s="501"/>
      <c r="J55" s="501"/>
      <c r="K55" s="167"/>
      <c r="L55" s="480"/>
      <c r="P55" s="131"/>
      <c r="Q55" s="131"/>
      <c r="R55" s="502"/>
      <c r="S55" s="617"/>
      <c r="T55" s="679"/>
      <c r="U55" s="485"/>
      <c r="V55" s="598"/>
      <c r="W55" s="621"/>
      <c r="X55" s="598"/>
      <c r="Y55" s="621"/>
      <c r="Z55" s="598"/>
      <c r="AA55" s="598"/>
      <c r="AB55" s="598"/>
      <c r="AC55" s="598"/>
      <c r="AD55" s="319"/>
      <c r="AE55" s="615"/>
      <c r="AF55" s="345"/>
      <c r="AG55" s="675"/>
      <c r="AH55" s="225"/>
      <c r="AI55" s="623"/>
      <c r="AJ55" s="174"/>
      <c r="AK55" s="440" t="s">
        <v>511</v>
      </c>
      <c r="AL55" s="598"/>
      <c r="AM55" s="598"/>
      <c r="AN55" s="598"/>
      <c r="AO55" s="598"/>
      <c r="AP55" s="598"/>
      <c r="AQ55" s="598"/>
      <c r="AR55" s="598"/>
      <c r="AS55" s="598"/>
      <c r="AT55" s="598"/>
      <c r="AU55" s="621"/>
      <c r="AV55" s="598"/>
      <c r="AW55" s="621"/>
      <c r="AX55" s="598"/>
      <c r="AY55" s="598"/>
      <c r="AZ55" s="598"/>
      <c r="BA55" s="598"/>
      <c r="BB55" s="619"/>
      <c r="BC55" s="512"/>
      <c r="BE55" s="128"/>
      <c r="BF55" s="128"/>
      <c r="BG55" s="128"/>
      <c r="BH55" s="128"/>
    </row>
    <row r="56" ht="11.25" customHeight="1">
      <c r="A56" s="478" t="s">
        <v>264</v>
      </c>
      <c r="B56" s="478" t="s">
        <v>265</v>
      </c>
      <c r="C56" s="478" t="s">
        <v>266</v>
      </c>
      <c r="D56" s="478" t="s">
        <v>517</v>
      </c>
      <c r="E56" s="490"/>
      <c r="F56" s="490"/>
      <c r="G56" s="490"/>
      <c r="H56" s="490"/>
      <c r="I56" s="501"/>
      <c r="J56" s="501"/>
      <c r="K56" s="167"/>
      <c r="L56" s="480"/>
      <c r="P56" s="131"/>
      <c r="Q56" s="131"/>
      <c r="R56" s="502"/>
      <c r="S56" s="624"/>
      <c r="T56" s="682"/>
      <c r="U56" s="485"/>
      <c r="V56" s="598"/>
      <c r="W56" s="599" t="str">
        <f>Z52&amp;"-"&amp;AB52</f>
        <v>-</v>
      </c>
      <c r="X56" s="598"/>
      <c r="Y56" s="599" t="str">
        <f>AB52&amp;"-"&amp;AD52</f>
        <v>-да</v>
      </c>
      <c r="Z56" s="598"/>
      <c r="AA56" s="598"/>
      <c r="AB56" s="598"/>
      <c r="AC56" s="598"/>
      <c r="AD56" s="221"/>
      <c r="AE56" s="627"/>
      <c r="AF56" s="628"/>
      <c r="AG56" s="179" t="s">
        <v>493</v>
      </c>
      <c r="AH56" s="598"/>
      <c r="AI56" s="598"/>
      <c r="AJ56" s="598"/>
      <c r="AK56" s="598"/>
      <c r="AL56" s="598"/>
      <c r="AM56" s="598"/>
      <c r="AN56" s="598"/>
      <c r="AO56" s="598"/>
      <c r="AP56" s="598"/>
      <c r="AQ56" s="598"/>
      <c r="AR56" s="598"/>
      <c r="AS56" s="598"/>
      <c r="AT56" s="598"/>
      <c r="AU56" s="599" t="str">
        <f>AX52&amp;"-"&amp;AZ52</f>
        <v>-</v>
      </c>
      <c r="AV56" s="598"/>
      <c r="AW56" s="599" t="str">
        <f>AZ52&amp;"-"&amp;BB52</f>
        <v>-</v>
      </c>
      <c r="AX56" s="598"/>
      <c r="AY56" s="598"/>
      <c r="AZ56" s="598"/>
      <c r="BA56" s="598"/>
      <c r="BB56" s="626" t="str">
        <f>BE52&amp;"-"&amp;BG52</f>
        <v>-</v>
      </c>
      <c r="BC56" s="512"/>
      <c r="BE56" s="128"/>
      <c r="BF56" s="128" t="str">
        <f t="shared" si="35"/>
        <v/>
      </c>
      <c r="BG56" s="128"/>
      <c r="BH56" s="128"/>
    </row>
    <row r="57" ht="11.25" customHeight="1">
      <c r="A57" s="478" t="s">
        <v>264</v>
      </c>
      <c r="B57" s="478" t="s">
        <v>265</v>
      </c>
      <c r="C57" s="478" t="s">
        <v>266</v>
      </c>
      <c r="D57" s="478" t="s">
        <v>517</v>
      </c>
      <c r="E57" s="490"/>
      <c r="F57" s="490"/>
      <c r="G57" s="490"/>
      <c r="H57" s="490"/>
      <c r="I57" s="501"/>
      <c r="J57" s="167"/>
      <c r="K57" s="478"/>
      <c r="L57" s="480"/>
      <c r="P57" s="131"/>
      <c r="Q57" s="131"/>
      <c r="R57" s="497"/>
      <c r="S57" s="513"/>
      <c r="T57" s="517" t="s">
        <v>457</v>
      </c>
      <c r="U57" s="215"/>
      <c r="V57" s="215"/>
      <c r="W57" s="215"/>
      <c r="X57" s="215"/>
      <c r="Y57" s="215"/>
      <c r="Z57" s="215"/>
      <c r="AA57" s="215"/>
      <c r="AB57" s="215"/>
      <c r="AC57" s="515"/>
      <c r="AD57" s="656"/>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515"/>
      <c r="BC57" s="516"/>
      <c r="BE57" s="128"/>
      <c r="BF57" s="128" t="str">
        <f t="shared" si="35"/>
        <v xml:space="preserve">Добавить строку</v>
      </c>
      <c r="BG57" s="128"/>
      <c r="BH57" s="128"/>
    </row>
    <row r="58" s="57" customFormat="1" ht="0" customHeight="1">
      <c r="A58" s="132" t="s">
        <v>264</v>
      </c>
      <c r="B58" s="132" t="s">
        <v>265</v>
      </c>
      <c r="C58" s="132" t="s">
        <v>266</v>
      </c>
      <c r="D58" s="132" t="s">
        <v>517</v>
      </c>
      <c r="E58" s="490"/>
      <c r="F58" s="490"/>
      <c r="G58" s="490"/>
      <c r="H58" s="490"/>
      <c r="I58" s="167"/>
      <c r="J58" s="132"/>
      <c r="K58" s="132"/>
      <c r="L58" s="213"/>
      <c r="M58" s="586"/>
      <c r="N58" s="586"/>
      <c r="O58" s="586"/>
      <c r="P58" s="131"/>
      <c r="Q58" s="131"/>
      <c r="R58" s="497"/>
      <c r="S58" s="582"/>
      <c r="T58" s="583"/>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5"/>
      <c r="BE58" s="128"/>
      <c r="BF58" s="128" t="str">
        <f t="shared" si="35"/>
        <v/>
      </c>
      <c r="BG58" s="128"/>
      <c r="BH58" s="128"/>
    </row>
    <row r="59" s="57" customFormat="1" ht="0" customHeight="1">
      <c r="A59" s="132" t="s">
        <v>264</v>
      </c>
      <c r="B59" s="132" t="s">
        <v>265</v>
      </c>
      <c r="C59" s="132" t="s">
        <v>266</v>
      </c>
      <c r="D59" s="132" t="s">
        <v>517</v>
      </c>
      <c r="E59" s="490"/>
      <c r="F59" s="490"/>
      <c r="G59" s="490"/>
      <c r="H59" s="479"/>
      <c r="I59" s="132"/>
      <c r="J59" s="132"/>
      <c r="K59" s="132"/>
      <c r="L59" s="213"/>
      <c r="M59" s="463"/>
      <c r="N59" s="463"/>
      <c r="O59" s="57"/>
      <c r="P59" s="166"/>
      <c r="Q59" s="522"/>
      <c r="R59" s="629"/>
      <c r="S59" s="582"/>
      <c r="T59" s="583"/>
      <c r="U59" s="584"/>
      <c r="V59" s="584"/>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584"/>
      <c r="BA59" s="584"/>
      <c r="BB59" s="584"/>
      <c r="BC59" s="585"/>
      <c r="BE59" s="128"/>
      <c r="BF59" s="128" t="str">
        <f t="shared" si="35"/>
        <v/>
      </c>
      <c r="BG59" s="128"/>
      <c r="BH59" s="128"/>
    </row>
    <row r="60" s="57" customFormat="1" ht="0" customHeight="1">
      <c r="A60" s="132" t="s">
        <v>264</v>
      </c>
      <c r="B60" s="132" t="s">
        <v>265</v>
      </c>
      <c r="C60" s="132" t="s">
        <v>266</v>
      </c>
      <c r="D60" s="132"/>
      <c r="E60" s="490"/>
      <c r="F60" s="490"/>
      <c r="G60" s="479"/>
      <c r="H60" s="132"/>
      <c r="I60" s="132"/>
      <c r="J60" s="132"/>
      <c r="K60" s="132"/>
      <c r="L60" s="213"/>
      <c r="M60" s="463"/>
      <c r="N60" s="463"/>
      <c r="P60" s="166"/>
      <c r="Q60" s="522"/>
      <c r="R60" s="166"/>
      <c r="S60" s="527"/>
      <c r="T60" s="530"/>
      <c r="U60" s="529"/>
      <c r="V60" s="529"/>
      <c r="W60" s="529"/>
      <c r="X60" s="529"/>
      <c r="Y60" s="529"/>
      <c r="Z60" s="529"/>
      <c r="AA60" s="529"/>
      <c r="AB60" s="529"/>
      <c r="AC60" s="529"/>
      <c r="AD60" s="529"/>
      <c r="AE60" s="529"/>
      <c r="AF60" s="529"/>
      <c r="AG60" s="529"/>
      <c r="AH60" s="529"/>
      <c r="AI60" s="529"/>
      <c r="AJ60" s="529"/>
      <c r="AK60" s="529"/>
      <c r="AL60" s="529"/>
      <c r="AM60" s="529"/>
      <c r="AN60" s="529"/>
      <c r="AO60" s="529"/>
      <c r="AP60" s="529"/>
      <c r="AQ60" s="529"/>
      <c r="AR60" s="529"/>
      <c r="AS60" s="529"/>
      <c r="AT60" s="529"/>
      <c r="AU60" s="529"/>
      <c r="AV60" s="529"/>
      <c r="AW60" s="529"/>
      <c r="AX60" s="529"/>
      <c r="AY60" s="529"/>
      <c r="AZ60" s="529"/>
      <c r="BA60" s="529"/>
      <c r="BB60" s="529"/>
      <c r="BC60" s="529"/>
      <c r="BE60" s="128"/>
      <c r="BF60" s="128" t="str">
        <f t="shared" si="35"/>
        <v/>
      </c>
      <c r="BG60" s="128"/>
      <c r="BH60" s="128"/>
    </row>
    <row r="61" s="57" customFormat="1" ht="0" customHeight="1">
      <c r="A61" s="132" t="s">
        <v>264</v>
      </c>
      <c r="B61" s="132" t="s">
        <v>265</v>
      </c>
      <c r="C61" s="132"/>
      <c r="D61" s="132"/>
      <c r="E61" s="490"/>
      <c r="F61" s="479"/>
      <c r="G61" s="132"/>
      <c r="H61" s="132"/>
      <c r="I61" s="132"/>
      <c r="J61" s="132"/>
      <c r="K61" s="132"/>
      <c r="L61" s="213"/>
      <c r="M61" s="526"/>
      <c r="N61" s="526"/>
      <c r="P61" s="166"/>
      <c r="Q61" s="522"/>
      <c r="R61" s="166"/>
      <c r="S61" s="527"/>
      <c r="T61" s="530" t="s">
        <v>405</v>
      </c>
      <c r="U61" s="529"/>
      <c r="V61" s="529"/>
      <c r="W61" s="529"/>
      <c r="X61" s="529"/>
      <c r="Y61" s="529"/>
      <c r="Z61" s="529"/>
      <c r="AA61" s="529"/>
      <c r="AB61" s="529"/>
      <c r="AC61" s="529"/>
      <c r="AD61" s="529"/>
      <c r="AE61" s="529"/>
      <c r="AF61" s="529"/>
      <c r="AG61" s="529"/>
      <c r="AH61" s="529"/>
      <c r="AI61" s="529"/>
      <c r="AJ61" s="529"/>
      <c r="AK61" s="529"/>
      <c r="AL61" s="529"/>
      <c r="AM61" s="529"/>
      <c r="AN61" s="529"/>
      <c r="AO61" s="529"/>
      <c r="AP61" s="529"/>
      <c r="AQ61" s="529"/>
      <c r="AR61" s="529"/>
      <c r="AS61" s="529"/>
      <c r="AT61" s="529"/>
      <c r="AU61" s="529"/>
      <c r="AV61" s="529"/>
      <c r="AW61" s="529"/>
      <c r="AX61" s="529"/>
      <c r="AY61" s="529"/>
      <c r="AZ61" s="529"/>
      <c r="BA61" s="529"/>
      <c r="BB61" s="529"/>
      <c r="BC61" s="529"/>
      <c r="BE61" s="128"/>
      <c r="BF61" s="128" t="str">
        <f t="shared" si="35"/>
        <v xml:space="preserve">Добавить централизованную систему для дифференциации</v>
      </c>
      <c r="BG61" s="128"/>
      <c r="BH61" s="128"/>
    </row>
    <row r="62" s="57" customFormat="1" ht="0" customHeight="1">
      <c r="A62" s="132" t="s">
        <v>264</v>
      </c>
      <c r="B62" s="132"/>
      <c r="C62" s="132"/>
      <c r="D62" s="132"/>
      <c r="E62" s="479"/>
      <c r="F62" s="132"/>
      <c r="G62" s="132"/>
      <c r="H62" s="132"/>
      <c r="I62" s="132"/>
      <c r="J62" s="132"/>
      <c r="K62" s="132"/>
      <c r="L62" s="213"/>
      <c r="M62" s="526"/>
      <c r="N62" s="526"/>
      <c r="O62" s="57"/>
      <c r="P62" s="166"/>
      <c r="Q62" s="522"/>
      <c r="R62" s="166"/>
      <c r="S62" s="527"/>
      <c r="T62" s="530" t="s">
        <v>406</v>
      </c>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E62" s="128"/>
      <c r="BF62" s="128" t="str">
        <f t="shared" si="35"/>
        <v xml:space="preserve">Добавить территорию для дифференциации</v>
      </c>
      <c r="BG62" s="128"/>
      <c r="BH62" s="128"/>
    </row>
    <row r="63" s="57" customFormat="1" ht="0" customHeight="1">
      <c r="A63" s="132"/>
      <c r="B63" s="132"/>
      <c r="C63" s="132"/>
      <c r="D63" s="132"/>
      <c r="E63" s="132"/>
      <c r="F63" s="132"/>
      <c r="G63" s="132"/>
      <c r="H63" s="132"/>
      <c r="I63" s="132"/>
      <c r="J63" s="132"/>
      <c r="K63" s="132"/>
      <c r="L63" s="213"/>
      <c r="M63" s="526"/>
      <c r="N63" s="526"/>
      <c r="P63" s="166"/>
      <c r="Q63" s="522"/>
      <c r="R63" s="166"/>
      <c r="S63" s="527"/>
      <c r="T63" s="530" t="s">
        <v>438</v>
      </c>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29"/>
      <c r="AY63" s="529"/>
      <c r="AZ63" s="529"/>
      <c r="BA63" s="529"/>
      <c r="BB63" s="529"/>
      <c r="BC63" s="529"/>
      <c r="BE63" s="128"/>
      <c r="BF63" s="128" t="str">
        <f t="shared" si="35"/>
        <v xml:space="preserve">Добавить наименование тарифа</v>
      </c>
      <c r="BG63" s="128"/>
      <c r="BH63" s="128"/>
    </row>
    <row r="64" ht="11.25" customHeight="1">
      <c r="M64" s="53"/>
      <c r="N64" s="53"/>
      <c r="O64" s="53"/>
      <c r="P64" s="53"/>
      <c r="Q64" s="53"/>
      <c r="R64" s="50"/>
      <c r="S64" s="50"/>
      <c r="BD64" s="50"/>
      <c r="BE64" s="50"/>
      <c r="BF64" s="50"/>
      <c r="BG64" s="50"/>
      <c r="BH64" s="50"/>
    </row>
    <row r="65" ht="14.25" customHeight="1">
      <c r="O65" s="53"/>
      <c r="S65" s="475"/>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B65" s="572"/>
      <c r="BC65" s="572"/>
    </row>
    <row r="66" ht="14.25" customHeight="1">
      <c r="O66" s="53"/>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row>
    <row r="67" ht="14.25" customHeight="1">
      <c r="O67" s="53"/>
      <c r="S67" s="475"/>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2"/>
      <c r="AX67" s="572"/>
      <c r="AY67" s="572"/>
      <c r="AZ67" s="572"/>
      <c r="BA67" s="572"/>
      <c r="BB67" s="572"/>
      <c r="BC67" s="572"/>
    </row>
    <row r="68" ht="14.25" customHeight="1">
      <c r="O68" s="53"/>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EB0080-00F0-4C2C-8BEC-0027005D000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B400E5-0033-4657-A9D5-0022008D0046}"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77007C-0071-4A81-9E16-00C8007B0087}"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670062-0076-4939-9FFE-002700A2001B}"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590022-0094-4DE5-8342-008300C000EE}"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7109375"/>
    <col customWidth="1" min="17" max="18" style="477" width="3.7109375"/>
    <col customWidth="1" min="19" max="19" style="322" width="12.7109375"/>
    <col customWidth="1" min="20" max="20" style="50" width="35.710937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31" style="50" width="24.7109375"/>
    <col customWidth="1" min="32" max="32" style="50" width="11.7109375"/>
    <col customWidth="1" min="33" max="33" style="50" width="3.7109375"/>
    <col customWidth="1" min="34" max="34" style="50" width="11.7109375"/>
    <col customWidth="1" hidden="1" min="35" max="35" style="50" width="8.57421875"/>
    <col customWidth="1" min="36" max="36" style="50" width="4.7109375"/>
    <col customWidth="1" min="37" max="37" style="50" width="115.7109375"/>
    <col min="38" max="39" style="57" width="10.57421875"/>
    <col customWidth="1" min="40" max="40" style="57" width="11.140625"/>
    <col min="41" max="42" style="57" width="10.57421875"/>
  </cols>
  <sheetData>
    <row r="1" ht="14.25" hidden="1" customHeight="1">
      <c r="X1" s="50"/>
      <c r="Y1" s="50"/>
      <c r="AE1" s="50"/>
      <c r="AF1" s="50"/>
    </row>
    <row r="2" ht="23.25"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8"/>
      <c r="AC2" s="486" t="e">
        <f>INDEX(PT_DIFFERENTIATION_NTAR,MATCH(A2,PT_DIFFERENTIATION_NTAR_ID,0))</f>
        <v>#VALUE!</v>
      </c>
      <c r="AD2" s="487"/>
      <c r="AE2" s="487"/>
      <c r="AF2" s="487"/>
      <c r="AG2" s="487"/>
      <c r="AH2" s="487"/>
      <c r="AI2" s="487"/>
      <c r="AJ2" s="488"/>
      <c r="AK2"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8"/>
      <c r="AN2" s="128" t="str">
        <f t="shared" ref="AN2:AN9" si="36">IF(T2="","",T2)</f>
        <v xml:space="preserve">Наименование тарифа</v>
      </c>
      <c r="AO2" s="128"/>
      <c r="AP2" s="128"/>
    </row>
    <row r="3" ht="23.25"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8"/>
      <c r="AC3" s="486" t="e">
        <f>INDEX(PT_DIFFERENTIATION_TER,MATCH(B3,PT_DIFFERENTIATION_TER_ID,0))</f>
        <v>#VALUE!</v>
      </c>
      <c r="AD3" s="487"/>
      <c r="AE3" s="487"/>
      <c r="AF3" s="487"/>
      <c r="AG3" s="487"/>
      <c r="AH3" s="487"/>
      <c r="AI3" s="487"/>
      <c r="AJ3" s="488"/>
      <c r="AK3" s="489" t="s">
        <v>388</v>
      </c>
      <c r="AM3" s="128"/>
      <c r="AN3" s="128" t="str">
        <f t="shared" si="36"/>
        <v xml:space="preserve">Территория действия тарифа</v>
      </c>
      <c r="AO3" s="128"/>
      <c r="AP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518</v>
      </c>
      <c r="U4" s="485"/>
      <c r="V4" s="486"/>
      <c r="W4" s="487"/>
      <c r="X4" s="487"/>
      <c r="Y4" s="487"/>
      <c r="Z4" s="487"/>
      <c r="AA4" s="487"/>
      <c r="AB4" s="488"/>
      <c r="AC4" s="486" t="e">
        <f>INDEX(PT_DIFFERENTIATION_CS,MATCH(C4,PT_DIFFERENTIATION_CS_ID,0))</f>
        <v>#VALUE!</v>
      </c>
      <c r="AD4" s="487"/>
      <c r="AE4" s="487"/>
      <c r="AF4" s="487"/>
      <c r="AG4" s="487"/>
      <c r="AH4" s="487"/>
      <c r="AI4" s="487"/>
      <c r="AJ4" s="488"/>
      <c r="AK4" s="489" t="s">
        <v>519</v>
      </c>
      <c r="AM4" s="128"/>
      <c r="AN4" s="128" t="str">
        <f t="shared" si="36"/>
        <v xml:space="preserve">Наименование централизованной системы горячего водоснабжения</v>
      </c>
      <c r="AO4" s="128"/>
      <c r="AP4" s="128"/>
    </row>
    <row r="5" ht="23.25" hidden="1" customHeight="1">
      <c r="A5" s="478"/>
      <c r="B5" s="478"/>
      <c r="C5" s="478"/>
      <c r="D5" s="478"/>
      <c r="E5" s="490"/>
      <c r="F5" s="490"/>
      <c r="G5" s="490"/>
      <c r="H5" s="490"/>
      <c r="I5" s="167" t="e">
        <f>S4&amp;".1"</f>
        <v>#VALUE!</v>
      </c>
      <c r="J5" s="478"/>
      <c r="K5" s="478"/>
      <c r="L5" s="480"/>
      <c r="P5" s="131">
        <v>1</v>
      </c>
      <c r="Q5" s="131"/>
      <c r="R5" s="497"/>
      <c r="S5" s="483" t="e">
        <f>$I5</f>
        <v>#VALUE!</v>
      </c>
      <c r="T5" s="498" t="s">
        <v>473</v>
      </c>
      <c r="U5" s="485"/>
      <c r="V5" s="658"/>
      <c r="W5" s="659"/>
      <c r="X5" s="659"/>
      <c r="Y5" s="659"/>
      <c r="Z5" s="659"/>
      <c r="AA5" s="659"/>
      <c r="AB5" s="660"/>
      <c r="AC5" s="661"/>
      <c r="AD5" s="662"/>
      <c r="AE5" s="662"/>
      <c r="AF5" s="662"/>
      <c r="AG5" s="662"/>
      <c r="AH5" s="662"/>
      <c r="AI5" s="662"/>
      <c r="AJ5" s="663"/>
      <c r="AK5" s="489" t="s">
        <v>474</v>
      </c>
      <c r="AM5" s="128"/>
      <c r="AN5" s="128" t="str">
        <f t="shared" si="36"/>
        <v xml:space="preserve">Наименование признака дифференциации</v>
      </c>
      <c r="AO5" s="128"/>
      <c r="AP5" s="128"/>
    </row>
    <row r="6" ht="23.25" hidden="1" customHeight="1">
      <c r="A6" s="478"/>
      <c r="B6" s="478"/>
      <c r="C6" s="478"/>
      <c r="D6" s="478"/>
      <c r="E6" s="490"/>
      <c r="F6" s="490"/>
      <c r="G6" s="490"/>
      <c r="H6" s="490"/>
      <c r="I6" s="501"/>
      <c r="J6" s="167" t="e">
        <f>I5&amp;".1"</f>
        <v>#VALUE!</v>
      </c>
      <c r="K6" s="478"/>
      <c r="L6" s="480" t="s">
        <v>396</v>
      </c>
      <c r="P6" s="131"/>
      <c r="Q6" s="131">
        <v>1</v>
      </c>
      <c r="R6" s="502"/>
      <c r="S6" s="483" t="e">
        <f>$J6</f>
        <v>#VALUE!</v>
      </c>
      <c r="T6" s="503" t="s">
        <v>397</v>
      </c>
      <c r="U6" s="485"/>
      <c r="V6" s="430"/>
      <c r="W6" s="499"/>
      <c r="X6" s="499"/>
      <c r="Y6" s="499"/>
      <c r="Z6" s="499"/>
      <c r="AA6" s="499"/>
      <c r="AB6" s="500"/>
      <c r="AC6" s="430"/>
      <c r="AD6" s="499"/>
      <c r="AE6" s="499"/>
      <c r="AF6" s="499"/>
      <c r="AG6" s="499"/>
      <c r="AH6" s="499"/>
      <c r="AI6" s="499"/>
      <c r="AJ6" s="500"/>
      <c r="AK6" s="593" t="s">
        <v>475</v>
      </c>
      <c r="AM6" s="128"/>
      <c r="AN6" s="128" t="str">
        <f t="shared" si="36"/>
        <v xml:space="preserve">Группа потребителей</v>
      </c>
      <c r="AO6" s="128"/>
      <c r="AP6" s="128"/>
    </row>
    <row r="7" ht="23.25" hidden="1" customHeight="1">
      <c r="A7" s="478"/>
      <c r="B7" s="478"/>
      <c r="C7" s="478"/>
      <c r="D7" s="478"/>
      <c r="E7" s="490"/>
      <c r="F7" s="490"/>
      <c r="G7" s="490"/>
      <c r="H7" s="490"/>
      <c r="I7" s="501"/>
      <c r="J7" s="501"/>
      <c r="K7" s="167" t="e">
        <f>J6&amp;".1"</f>
        <v>#VALUE!</v>
      </c>
      <c r="L7" s="480"/>
      <c r="P7" s="131"/>
      <c r="Q7" s="131"/>
      <c r="R7" s="502">
        <v>1</v>
      </c>
      <c r="S7" s="483" t="e">
        <f>$K7</f>
        <v>#VALUE!</v>
      </c>
      <c r="T7" s="664"/>
      <c r="U7" s="485"/>
      <c r="V7" s="505"/>
      <c r="W7" s="505"/>
      <c r="X7" s="507"/>
      <c r="Y7" s="508"/>
      <c r="Z7" s="225" t="s">
        <v>56</v>
      </c>
      <c r="AA7" s="508"/>
      <c r="AB7" s="225" t="s">
        <v>56</v>
      </c>
      <c r="AC7" s="505"/>
      <c r="AD7" s="505"/>
      <c r="AE7" s="507"/>
      <c r="AF7" s="508"/>
      <c r="AG7" s="225" t="s">
        <v>56</v>
      </c>
      <c r="AH7" s="568"/>
      <c r="AI7" s="225" t="s">
        <v>56</v>
      </c>
      <c r="AJ7" s="665"/>
      <c r="AK7"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8"/>
      <c r="AN7" s="128" t="str">
        <f t="shared" si="36"/>
        <v/>
      </c>
      <c r="AO7" s="128"/>
      <c r="AP7" s="128"/>
    </row>
    <row r="8" ht="14.25" hidden="1" customHeight="1">
      <c r="A8" s="478"/>
      <c r="B8" s="478"/>
      <c r="C8" s="478"/>
      <c r="D8" s="478"/>
      <c r="E8" s="490"/>
      <c r="F8" s="490"/>
      <c r="G8" s="490"/>
      <c r="H8" s="490"/>
      <c r="I8" s="501"/>
      <c r="J8" s="501"/>
      <c r="K8" s="167"/>
      <c r="L8" s="480"/>
      <c r="P8" s="131"/>
      <c r="Q8" s="131"/>
      <c r="R8" s="502"/>
      <c r="S8" s="457"/>
      <c r="T8" s="485"/>
      <c r="U8" s="485"/>
      <c r="V8" s="506"/>
      <c r="W8" s="506"/>
      <c r="X8" s="510" t="str">
        <f>Y7&amp;"-"&amp;AA7</f>
        <v>-</v>
      </c>
      <c r="Y8" s="511"/>
      <c r="Z8" s="225"/>
      <c r="AA8" s="511"/>
      <c r="AB8" s="225"/>
      <c r="AC8" s="506"/>
      <c r="AD8" s="506"/>
      <c r="AE8" s="510" t="str">
        <f>AF7&amp;"-"&amp;AH7</f>
        <v>-</v>
      </c>
      <c r="AF8" s="511"/>
      <c r="AG8" s="225"/>
      <c r="AH8" s="570"/>
      <c r="AI8" s="225"/>
      <c r="AJ8" s="667"/>
      <c r="AK8" s="666"/>
      <c r="AM8" s="128"/>
      <c r="AN8" s="128" t="str">
        <f t="shared" si="36"/>
        <v/>
      </c>
      <c r="AO8" s="128"/>
      <c r="AP8" s="128"/>
    </row>
    <row r="9" ht="21" hidden="1" customHeight="1">
      <c r="A9" s="478"/>
      <c r="B9" s="478"/>
      <c r="C9" s="478"/>
      <c r="D9" s="478"/>
      <c r="E9" s="490"/>
      <c r="F9" s="490"/>
      <c r="G9" s="490"/>
      <c r="H9" s="490"/>
      <c r="I9" s="501"/>
      <c r="J9" s="167"/>
      <c r="K9" s="478"/>
      <c r="L9" s="480"/>
      <c r="P9" s="131"/>
      <c r="Q9" s="131"/>
      <c r="R9" s="497"/>
      <c r="S9" s="513"/>
      <c r="T9" s="517" t="s">
        <v>476</v>
      </c>
      <c r="U9" s="215"/>
      <c r="V9" s="215"/>
      <c r="W9" s="215"/>
      <c r="X9" s="215"/>
      <c r="Y9" s="215"/>
      <c r="Z9" s="215"/>
      <c r="AA9" s="215"/>
      <c r="AB9" s="215"/>
      <c r="AC9" s="215"/>
      <c r="AD9" s="215"/>
      <c r="AE9" s="215"/>
      <c r="AF9" s="215"/>
      <c r="AG9" s="215"/>
      <c r="AH9" s="215"/>
      <c r="AI9" s="215"/>
      <c r="AJ9" s="215"/>
      <c r="AK9" s="489" t="s">
        <v>477</v>
      </c>
      <c r="AM9" s="128"/>
      <c r="AN9" s="128" t="str">
        <f t="shared" si="36"/>
        <v xml:space="preserve">Добавить значение признака дифференциации</v>
      </c>
      <c r="AO9" s="128"/>
      <c r="AP9" s="128"/>
    </row>
    <row r="10" ht="21" hidden="1" customHeight="1">
      <c r="A10" s="478"/>
      <c r="B10" s="478"/>
      <c r="C10" s="478"/>
      <c r="D10" s="478"/>
      <c r="E10" s="490"/>
      <c r="F10" s="490"/>
      <c r="G10" s="490"/>
      <c r="H10" s="490"/>
      <c r="I10" s="167"/>
      <c r="J10" s="478"/>
      <c r="K10" s="478"/>
      <c r="L10" s="480"/>
      <c r="P10" s="131"/>
      <c r="Q10" s="131"/>
      <c r="R10" s="497"/>
      <c r="S10" s="513"/>
      <c r="T10" s="521" t="s">
        <v>402</v>
      </c>
      <c r="U10" s="215"/>
      <c r="V10" s="215"/>
      <c r="W10" s="215"/>
      <c r="X10" s="215"/>
      <c r="Y10" s="215"/>
      <c r="Z10" s="215"/>
      <c r="AA10" s="215"/>
      <c r="AB10" s="518"/>
      <c r="AC10" s="215"/>
      <c r="AD10" s="215"/>
      <c r="AE10" s="215"/>
      <c r="AF10" s="215"/>
      <c r="AG10" s="215"/>
      <c r="AH10" s="215"/>
      <c r="AI10" s="518"/>
      <c r="AJ10" s="215"/>
      <c r="AK10" s="668"/>
      <c r="AM10" s="128"/>
      <c r="AN10" s="128" t="str">
        <f t="shared" ref="AN10:AN53" si="37">IF(T10="","",T10)</f>
        <v xml:space="preserve">Добавить группу потребителей</v>
      </c>
      <c r="AO10" s="128"/>
      <c r="AP10" s="128"/>
    </row>
    <row r="11" ht="21" hidden="1" customHeight="1">
      <c r="A11" s="478"/>
      <c r="B11" s="478"/>
      <c r="C11" s="478"/>
      <c r="D11" s="478"/>
      <c r="E11" s="490"/>
      <c r="F11" s="490"/>
      <c r="G11" s="490"/>
      <c r="H11" s="479"/>
      <c r="I11" s="478"/>
      <c r="J11" s="478"/>
      <c r="K11" s="478"/>
      <c r="L11" s="480"/>
      <c r="M11" s="481"/>
      <c r="N11" s="481"/>
      <c r="O11" s="53"/>
      <c r="P11" s="142"/>
      <c r="Q11" s="520"/>
      <c r="R11" s="482"/>
      <c r="S11" s="513"/>
      <c r="T11" s="669" t="s">
        <v>478</v>
      </c>
      <c r="U11" s="215"/>
      <c r="V11" s="215"/>
      <c r="W11" s="215"/>
      <c r="X11" s="215"/>
      <c r="Y11" s="215"/>
      <c r="Z11" s="215"/>
      <c r="AA11" s="215"/>
      <c r="AB11" s="518"/>
      <c r="AC11" s="215"/>
      <c r="AD11" s="215"/>
      <c r="AE11" s="215"/>
      <c r="AF11" s="215"/>
      <c r="AG11" s="215"/>
      <c r="AH11" s="215"/>
      <c r="AI11" s="518"/>
      <c r="AJ11" s="215"/>
      <c r="AK11" s="519"/>
      <c r="AM11" s="128"/>
      <c r="AN11" s="128" t="str">
        <f t="shared" si="37"/>
        <v xml:space="preserve">Добавить наименование признака дифференциации</v>
      </c>
      <c r="AO11" s="128"/>
      <c r="AP11" s="128"/>
    </row>
    <row r="12" s="57" customFormat="1" ht="14.25" hidden="1" customHeight="1">
      <c r="A12" s="132"/>
      <c r="B12" s="132"/>
      <c r="C12" s="132"/>
      <c r="D12" s="132"/>
      <c r="E12" s="490"/>
      <c r="F12" s="479"/>
      <c r="G12" s="132"/>
      <c r="H12" s="132"/>
      <c r="I12" s="132"/>
      <c r="J12" s="132"/>
      <c r="K12" s="132"/>
      <c r="L12" s="213"/>
      <c r="M12" s="526"/>
      <c r="N12" s="526"/>
      <c r="P12" s="166"/>
      <c r="Q12" s="522"/>
      <c r="R12" s="166"/>
      <c r="S12" s="527"/>
      <c r="T12" s="530" t="s">
        <v>405</v>
      </c>
      <c r="U12" s="529"/>
      <c r="V12" s="529"/>
      <c r="W12" s="529"/>
      <c r="X12" s="529"/>
      <c r="Y12" s="529"/>
      <c r="Z12" s="529"/>
      <c r="AA12" s="529"/>
      <c r="AB12" s="529"/>
      <c r="AC12" s="529"/>
      <c r="AD12" s="529"/>
      <c r="AE12" s="529"/>
      <c r="AF12" s="529"/>
      <c r="AG12" s="529"/>
      <c r="AH12" s="529"/>
      <c r="AI12" s="529"/>
      <c r="AJ12" s="529"/>
      <c r="AK12" s="529"/>
      <c r="AM12" s="128"/>
      <c r="AN12" s="128" t="str">
        <f t="shared" si="37"/>
        <v xml:space="preserve">Добавить централизованную систему для дифференциации</v>
      </c>
      <c r="AO12" s="128"/>
      <c r="AP12" s="128"/>
    </row>
    <row r="13" s="57" customFormat="1" ht="14.25" hidden="1" customHeight="1">
      <c r="A13" s="132"/>
      <c r="B13" s="132"/>
      <c r="C13" s="132"/>
      <c r="D13" s="132"/>
      <c r="E13" s="479"/>
      <c r="F13" s="132"/>
      <c r="G13" s="132"/>
      <c r="H13" s="132"/>
      <c r="I13" s="132"/>
      <c r="J13" s="132"/>
      <c r="K13" s="132"/>
      <c r="L13" s="213"/>
      <c r="M13" s="526"/>
      <c r="N13" s="526"/>
      <c r="O13" s="57"/>
      <c r="P13" s="166"/>
      <c r="Q13" s="522"/>
      <c r="R13" s="166"/>
      <c r="S13" s="527"/>
      <c r="T13" s="530" t="s">
        <v>406</v>
      </c>
      <c r="U13" s="529"/>
      <c r="V13" s="529"/>
      <c r="W13" s="529"/>
      <c r="X13" s="529"/>
      <c r="Y13" s="529"/>
      <c r="Z13" s="529"/>
      <c r="AA13" s="529"/>
      <c r="AB13" s="529"/>
      <c r="AC13" s="529"/>
      <c r="AD13" s="529"/>
      <c r="AE13" s="529"/>
      <c r="AF13" s="529"/>
      <c r="AG13" s="529"/>
      <c r="AH13" s="529"/>
      <c r="AI13" s="529"/>
      <c r="AJ13" s="529"/>
      <c r="AK13" s="529"/>
      <c r="AM13" s="128"/>
      <c r="AN13" s="128" t="str">
        <f t="shared" si="37"/>
        <v xml:space="preserve">Добавить территорию для дифференциации</v>
      </c>
      <c r="AO13" s="128"/>
      <c r="AP13" s="128"/>
    </row>
    <row r="14" ht="14.25" hidden="1" customHeight="1">
      <c r="AB14" s="50"/>
      <c r="AI14" s="50"/>
    </row>
    <row r="15" ht="14.25" hidden="1" customHeight="1">
      <c r="AC15" s="531"/>
      <c r="AD15" s="531"/>
      <c r="AE15" s="532"/>
      <c r="AF15" s="533"/>
      <c r="AG15" s="534" t="s">
        <v>56</v>
      </c>
      <c r="AH15" s="533"/>
      <c r="AI15" s="534" t="s">
        <v>56</v>
      </c>
    </row>
    <row r="16" ht="14.25" hidden="1" customHeight="1">
      <c r="AC16" s="531"/>
      <c r="AD16" s="531"/>
      <c r="AE16" s="510" t="str">
        <f>AF15&amp;"-"&amp;AH15</f>
        <v>-</v>
      </c>
      <c r="AF16" s="534"/>
      <c r="AG16" s="534"/>
      <c r="AH16" s="534"/>
      <c r="AI16" s="534"/>
    </row>
    <row r="17" ht="14.25" hidden="1" customHeight="1">
      <c r="AI17" s="50"/>
    </row>
    <row r="18" s="53" customFormat="1" ht="22.5" hidden="1" customHeight="1">
      <c r="L18" s="113"/>
      <c r="M18" s="61"/>
      <c r="N18" s="61"/>
      <c r="O18" s="535" t="s">
        <v>407</v>
      </c>
      <c r="P18" s="61"/>
      <c r="Q18" s="536"/>
      <c r="R18" s="536"/>
      <c r="S18" s="481"/>
      <c r="Y18" s="535"/>
      <c r="AA18" s="535"/>
      <c r="AB18" s="53"/>
      <c r="AF18" s="535"/>
      <c r="AH18" s="535"/>
      <c r="AI18" s="53"/>
      <c r="AL18" s="57"/>
      <c r="AM18" s="57"/>
      <c r="AN18" s="57"/>
      <c r="AO18" s="57"/>
      <c r="AP18" s="57"/>
    </row>
    <row r="19" s="53" customFormat="1" ht="14.25" hidden="1" customHeight="1">
      <c r="L19" s="113"/>
      <c r="M19" s="61"/>
      <c r="N19" s="61"/>
      <c r="O19" s="61"/>
      <c r="P19" s="61"/>
      <c r="Q19" s="536"/>
      <c r="R19" s="536"/>
      <c r="S19" s="481"/>
      <c r="AB19" s="53"/>
      <c r="AI19" s="53"/>
      <c r="AL19" s="57"/>
      <c r="AM19" s="57"/>
      <c r="AN19" s="57"/>
      <c r="AO19" s="57"/>
      <c r="AP19" s="57"/>
    </row>
    <row r="20" s="53" customFormat="1" ht="12" hidden="1" customHeight="1">
      <c r="L20" s="113"/>
      <c r="M20" s="61"/>
      <c r="N20" s="61"/>
      <c r="O20" s="480" t="s">
        <v>408</v>
      </c>
      <c r="P20" s="61"/>
      <c r="Q20" s="670"/>
      <c r="R20" s="670"/>
      <c r="S20" s="481"/>
      <c r="T20" s="53" t="s">
        <v>409</v>
      </c>
      <c r="Z20" s="150" t="s">
        <v>410</v>
      </c>
      <c r="AB20" s="150" t="s">
        <v>411</v>
      </c>
      <c r="AC20" s="53" t="s">
        <v>409</v>
      </c>
      <c r="AG20" s="150" t="s">
        <v>412</v>
      </c>
      <c r="AI20" s="150" t="s">
        <v>411</v>
      </c>
    </row>
    <row r="21" ht="14.25" hidden="1" customHeight="1">
      <c r="O21" s="480"/>
    </row>
    <row r="22" ht="14.25" hidden="1" customHeight="1">
      <c r="O22" s="480"/>
    </row>
    <row r="23" ht="14.25" customHeight="1">
      <c r="Q23" s="537"/>
      <c r="R23" s="537"/>
      <c r="S23" s="538"/>
      <c r="T23" s="89"/>
      <c r="U23" s="89"/>
      <c r="V23" s="50"/>
      <c r="W23" s="50"/>
      <c r="X23" s="50"/>
      <c r="Y23" s="50"/>
      <c r="Z23" s="50"/>
      <c r="AA23" s="50"/>
      <c r="AB23" s="50"/>
      <c r="AC23" s="50"/>
      <c r="AD23" s="50"/>
      <c r="AE23" s="50"/>
      <c r="AF23" s="50"/>
      <c r="AG23" s="50"/>
      <c r="AH23" s="50"/>
      <c r="AI23" s="50"/>
    </row>
    <row r="24" ht="29.25" customHeight="1">
      <c r="Q24" s="537"/>
      <c r="R24" s="537"/>
      <c r="S24" s="451"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51"/>
      <c r="U24" s="451"/>
      <c r="V24" s="451"/>
      <c r="W24" s="451"/>
      <c r="X24" s="451"/>
      <c r="Y24" s="451"/>
      <c r="Z24" s="451"/>
      <c r="AA24" s="451"/>
      <c r="AB24" s="451"/>
      <c r="AC24" s="451"/>
      <c r="AD24" s="451"/>
      <c r="AE24" s="451"/>
      <c r="AF24" s="451"/>
      <c r="AG24" s="451"/>
      <c r="AH24" s="451"/>
      <c r="AI24" s="241"/>
    </row>
    <row r="25" ht="14.25" customHeight="1">
      <c r="Q25" s="537"/>
      <c r="R25" s="537"/>
      <c r="S25" s="302" t="str">
        <f>IF(org=0,"Не определено",org)</f>
        <v xml:space="preserve">филиал ПАО "ОГК-2" - Адлерская ТЭС</v>
      </c>
      <c r="T25" s="302"/>
      <c r="U25" s="302"/>
      <c r="V25" s="302"/>
      <c r="W25" s="302"/>
      <c r="X25" s="302"/>
      <c r="Y25" s="302"/>
      <c r="Z25" s="302"/>
      <c r="AA25" s="302"/>
      <c r="AB25" s="302"/>
      <c r="AC25" s="302"/>
      <c r="AD25" s="302"/>
      <c r="AE25" s="302"/>
      <c r="AF25" s="302"/>
      <c r="AG25" s="302"/>
      <c r="AH25" s="302"/>
      <c r="AI25" s="241"/>
    </row>
    <row r="26" ht="14.25" hidden="1" customHeight="1">
      <c r="Q26" s="537"/>
      <c r="R26" s="537"/>
      <c r="S26" s="538"/>
      <c r="T26" s="89"/>
      <c r="U26" s="89"/>
      <c r="V26" s="539"/>
      <c r="W26" s="539"/>
      <c r="X26" s="539"/>
      <c r="Y26" s="539"/>
      <c r="Z26" s="539"/>
      <c r="AA26" s="539"/>
      <c r="AB26" s="539"/>
      <c r="AC26" s="539"/>
      <c r="AD26" s="539"/>
      <c r="AE26" s="539"/>
      <c r="AF26" s="539"/>
      <c r="AG26" s="539"/>
      <c r="AH26" s="539"/>
      <c r="AI26" s="539"/>
      <c r="AJ26" s="50"/>
    </row>
    <row r="27" s="185" customFormat="1" ht="25.5" hidden="1" customHeight="1">
      <c r="A27" s="150"/>
      <c r="B27" s="150"/>
      <c r="C27" s="150"/>
      <c r="D27" s="150"/>
      <c r="E27" s="150"/>
      <c r="F27" s="150"/>
      <c r="G27" s="150"/>
      <c r="H27" s="150"/>
      <c r="I27" s="150"/>
      <c r="J27" s="150"/>
      <c r="K27" s="150"/>
      <c r="L27" s="480"/>
      <c r="M27" s="150"/>
      <c r="N27" s="150"/>
      <c r="O27" s="150"/>
      <c r="S27" s="540" t="s">
        <v>38</v>
      </c>
      <c r="T27" s="540"/>
      <c r="U27" s="541"/>
      <c r="V27" s="542" t="str">
        <f>IF(TITLE_NAME_OR_PR_CHANGE="",IF(TITLE_NAME_OR_PR="","",TITLE_NAME_OR_PR),TITLE_NAME_OR_PR_CHANGE)</f>
        <v/>
      </c>
      <c r="W27" s="542"/>
      <c r="X27" s="542"/>
      <c r="Y27" s="542"/>
      <c r="Z27" s="542"/>
      <c r="AA27" s="542"/>
      <c r="AB27" s="50"/>
      <c r="AC27" s="542" t="str">
        <f>IF(TITLE_NAME_OR_PR_CHANGE="",IF(TITLE_NAME_OR_PR="","",TITLE_NAME_OR_PR),TITLE_NAME_OR_PR_CHANGE)</f>
        <v/>
      </c>
      <c r="AD27" s="542"/>
      <c r="AE27" s="542"/>
      <c r="AF27" s="542"/>
      <c r="AG27" s="542"/>
      <c r="AH27" s="542"/>
      <c r="AI27" s="50"/>
      <c r="AJ27" s="50"/>
      <c r="AK27" s="543"/>
      <c r="AL27" s="128"/>
      <c r="AM27" s="128"/>
      <c r="AN27" s="128"/>
      <c r="AO27" s="128"/>
      <c r="AP27" s="128"/>
    </row>
    <row r="28" s="185" customFormat="1" ht="18.75" hidden="1" customHeight="1">
      <c r="A28" s="150"/>
      <c r="B28" s="150"/>
      <c r="C28" s="150"/>
      <c r="D28" s="150"/>
      <c r="E28" s="150"/>
      <c r="F28" s="150"/>
      <c r="G28" s="150"/>
      <c r="H28" s="150"/>
      <c r="I28" s="150"/>
      <c r="J28" s="150"/>
      <c r="K28" s="150"/>
      <c r="L28" s="480"/>
      <c r="M28" s="150"/>
      <c r="N28" s="150"/>
      <c r="O28" s="150"/>
      <c r="S28" s="540" t="s">
        <v>413</v>
      </c>
      <c r="T28" s="540"/>
      <c r="U28" s="541"/>
      <c r="V28" s="544" t="str">
        <f>IF(TITLE_DATE_PR_CHANGE="",IF(TITLE_DATE_PR="","",TITLE_DATE_PR),TITLE_DATE_PR_CHANGE)</f>
        <v/>
      </c>
      <c r="W28" s="544"/>
      <c r="X28" s="544"/>
      <c r="Y28" s="544"/>
      <c r="Z28" s="544"/>
      <c r="AA28" s="544"/>
      <c r="AB28" s="50"/>
      <c r="AC28" s="544" t="str">
        <f>IF(TITLE_DATE_PR_CHANGE="",IF(TITLE_DATE_PR="","",TITLE_DATE_PR),TITLE_DATE_PR_CHANGE)</f>
        <v/>
      </c>
      <c r="AD28" s="544"/>
      <c r="AE28" s="544"/>
      <c r="AF28" s="544"/>
      <c r="AG28" s="544"/>
      <c r="AH28" s="544"/>
      <c r="AI28" s="50"/>
      <c r="AJ28" s="50"/>
      <c r="AK28" s="543"/>
      <c r="AL28" s="128"/>
      <c r="AM28" s="128"/>
      <c r="AN28" s="128"/>
      <c r="AO28" s="128"/>
      <c r="AP28" s="128"/>
    </row>
    <row r="29" s="185" customFormat="1" ht="18.75" hidden="1" customHeight="1">
      <c r="A29" s="150"/>
      <c r="B29" s="150"/>
      <c r="C29" s="150"/>
      <c r="D29" s="150"/>
      <c r="E29" s="150"/>
      <c r="F29" s="150"/>
      <c r="G29" s="150"/>
      <c r="H29" s="150"/>
      <c r="I29" s="150"/>
      <c r="J29" s="150"/>
      <c r="K29" s="150"/>
      <c r="L29" s="480"/>
      <c r="M29" s="150"/>
      <c r="N29" s="150"/>
      <c r="O29" s="150"/>
      <c r="S29" s="540" t="s">
        <v>414</v>
      </c>
      <c r="T29" s="540"/>
      <c r="U29" s="541"/>
      <c r="V29" s="542" t="str">
        <f>IF(TITLE_NUMBER_PR_CHANGE="",IF(TITLE_NUMBER_PR="","",TITLE_NUMBER_PR),TITLE_NUMBER_PR_CHANGE)</f>
        <v/>
      </c>
      <c r="W29" s="542"/>
      <c r="X29" s="542"/>
      <c r="Y29" s="542"/>
      <c r="Z29" s="542"/>
      <c r="AA29" s="542"/>
      <c r="AB29" s="50"/>
      <c r="AC29" s="542" t="str">
        <f>IF(TITLE_NUMBER_PR_CHANGE="",IF(TITLE_NUMBER_PR="","",TITLE_NUMBER_PR),TITLE_NUMBER_PR_CHANGE)</f>
        <v/>
      </c>
      <c r="AD29" s="542"/>
      <c r="AE29" s="542"/>
      <c r="AF29" s="542"/>
      <c r="AG29" s="542"/>
      <c r="AH29" s="542"/>
      <c r="AI29" s="50"/>
      <c r="AJ29" s="50"/>
      <c r="AK29" s="543"/>
      <c r="AL29" s="128"/>
      <c r="AM29" s="128"/>
      <c r="AN29" s="128"/>
      <c r="AO29" s="128"/>
      <c r="AP29" s="128"/>
    </row>
    <row r="30" s="185" customFormat="1" ht="18.75" hidden="1" customHeight="1">
      <c r="A30" s="150"/>
      <c r="B30" s="150"/>
      <c r="C30" s="150"/>
      <c r="D30" s="150"/>
      <c r="E30" s="150"/>
      <c r="F30" s="150"/>
      <c r="G30" s="150"/>
      <c r="H30" s="150"/>
      <c r="I30" s="150"/>
      <c r="J30" s="150"/>
      <c r="K30" s="150"/>
      <c r="L30" s="480"/>
      <c r="M30" s="150"/>
      <c r="N30" s="150"/>
      <c r="O30" s="150"/>
      <c r="S30" s="540" t="s">
        <v>39</v>
      </c>
      <c r="T30" s="540"/>
      <c r="U30" s="541"/>
      <c r="V30" s="542" t="str">
        <f>IF(TITLE_IST_PUB_CHANGE="",IF(TITLE_IST_PUB="","",TITLE_IST_PUB),TITLE_IST_PUB_CHANGE)</f>
        <v/>
      </c>
      <c r="W30" s="542"/>
      <c r="X30" s="542"/>
      <c r="Y30" s="542"/>
      <c r="Z30" s="542"/>
      <c r="AA30" s="542"/>
      <c r="AB30" s="50"/>
      <c r="AC30" s="542" t="str">
        <f>IF(TITLE_IST_PUB_CHANGE="",IF(TITLE_IST_PUB="","",TITLE_IST_PUB),TITLE_IST_PUB_CHANGE)</f>
        <v/>
      </c>
      <c r="AD30" s="542"/>
      <c r="AE30" s="542"/>
      <c r="AF30" s="542"/>
      <c r="AG30" s="542"/>
      <c r="AH30" s="542"/>
      <c r="AI30" s="50"/>
      <c r="AJ30" s="50"/>
      <c r="AK30" s="543"/>
      <c r="AL30" s="128"/>
      <c r="AM30" s="128"/>
      <c r="AN30" s="128"/>
      <c r="AO30" s="128"/>
      <c r="AP30" s="128"/>
    </row>
    <row r="31" ht="14.25" hidden="1" customHeight="1">
      <c r="Q31" s="537"/>
      <c r="R31" s="537"/>
      <c r="S31" s="538"/>
      <c r="T31" s="89"/>
      <c r="U31" s="89"/>
      <c r="V31" s="539"/>
      <c r="W31" s="539"/>
      <c r="X31" s="539"/>
      <c r="Y31" s="539"/>
      <c r="Z31" s="539"/>
      <c r="AA31" s="539"/>
      <c r="AB31" s="539"/>
      <c r="AC31" s="539"/>
      <c r="AD31" s="539"/>
      <c r="AE31" s="539"/>
      <c r="AF31" s="539"/>
      <c r="AG31" s="539"/>
      <c r="AH31" s="539"/>
      <c r="AI31" s="539"/>
      <c r="AJ31" s="50"/>
    </row>
    <row r="32" s="185" customFormat="1" ht="18.75" hidden="1" customHeight="1">
      <c r="A32" s="150"/>
      <c r="B32" s="150"/>
      <c r="C32" s="150"/>
      <c r="D32" s="150"/>
      <c r="E32" s="150"/>
      <c r="F32" s="150"/>
      <c r="G32" s="150"/>
      <c r="H32" s="150"/>
      <c r="I32" s="150"/>
      <c r="J32" s="150"/>
      <c r="K32" s="150"/>
      <c r="L32" s="480"/>
      <c r="M32" s="150"/>
      <c r="N32" s="150"/>
      <c r="O32" s="150"/>
      <c r="S32" s="540" t="s">
        <v>415</v>
      </c>
      <c r="T32" s="540"/>
      <c r="U32" s="541"/>
      <c r="V32" s="544" t="str">
        <f>IF(TITLE_DATE_PR_CHANGE="",IF(TITLE_DATE_PR="","",TITLE_DATE_PR),TITLE_DATE_PR_CHANGE)</f>
        <v/>
      </c>
      <c r="W32" s="544"/>
      <c r="X32" s="544"/>
      <c r="Y32" s="544"/>
      <c r="Z32" s="544"/>
      <c r="AA32" s="544"/>
      <c r="AB32" s="50"/>
      <c r="AC32" s="544" t="str">
        <f>IF(TITLE_DATE_PR_CHANGE="",IF(TITLE_DATE_PR="","",TITLE_DATE_PR),TITLE_DATE_PR_CHANGE)</f>
        <v/>
      </c>
      <c r="AD32" s="544"/>
      <c r="AE32" s="544"/>
      <c r="AF32" s="544"/>
      <c r="AG32" s="544"/>
      <c r="AH32" s="544"/>
      <c r="AI32" s="50"/>
      <c r="AJ32" s="50"/>
      <c r="AK32" s="543"/>
      <c r="AL32" s="128"/>
      <c r="AM32" s="128"/>
      <c r="AN32" s="128"/>
      <c r="AO32" s="128"/>
      <c r="AP32" s="128"/>
    </row>
    <row r="33" s="185" customFormat="1" ht="18.75" hidden="1" customHeight="1">
      <c r="A33" s="150"/>
      <c r="B33" s="150"/>
      <c r="C33" s="150"/>
      <c r="D33" s="150"/>
      <c r="E33" s="150"/>
      <c r="F33" s="150"/>
      <c r="G33" s="150"/>
      <c r="H33" s="150"/>
      <c r="I33" s="150"/>
      <c r="J33" s="150"/>
      <c r="K33" s="150"/>
      <c r="L33" s="480"/>
      <c r="M33" s="150"/>
      <c r="N33" s="150"/>
      <c r="O33" s="150"/>
      <c r="S33" s="540" t="s">
        <v>416</v>
      </c>
      <c r="T33" s="540"/>
      <c r="U33" s="541"/>
      <c r="V33" s="542" t="str">
        <f>IF(TITLE_NUMBER_PR_CHANGE="",IF(TITLE_NUMBER_PR="","",TITLE_NUMBER_PR),TITLE_NUMBER_PR_CHANGE)</f>
        <v/>
      </c>
      <c r="W33" s="542"/>
      <c r="X33" s="542"/>
      <c r="Y33" s="542"/>
      <c r="Z33" s="542"/>
      <c r="AA33" s="542"/>
      <c r="AB33" s="50"/>
      <c r="AC33" s="542" t="str">
        <f>IF(TITLE_NUMBER_PR_CHANGE="",IF(TITLE_NUMBER_PR="","",TITLE_NUMBER_PR),TITLE_NUMBER_PR_CHANGE)</f>
        <v/>
      </c>
      <c r="AD33" s="542"/>
      <c r="AE33" s="542"/>
      <c r="AF33" s="542"/>
      <c r="AG33" s="542"/>
      <c r="AH33" s="542"/>
      <c r="AI33" s="50"/>
      <c r="AJ33" s="50"/>
      <c r="AK33" s="543"/>
      <c r="AL33" s="128"/>
      <c r="AM33" s="128"/>
      <c r="AN33" s="128"/>
      <c r="AO33" s="128"/>
      <c r="AP33" s="128"/>
    </row>
    <row r="34" s="185" customFormat="1" ht="0.75" customHeight="1">
      <c r="A34" s="150"/>
      <c r="B34" s="150"/>
      <c r="C34" s="150"/>
      <c r="D34" s="150"/>
      <c r="E34" s="150"/>
      <c r="F34" s="150"/>
      <c r="G34" s="150"/>
      <c r="H34" s="150"/>
      <c r="I34" s="150"/>
      <c r="J34" s="150"/>
      <c r="K34" s="150"/>
      <c r="L34" s="480"/>
      <c r="M34" s="150"/>
      <c r="N34" s="150"/>
      <c r="O34" s="150"/>
      <c r="S34" s="50"/>
      <c r="T34" s="50"/>
      <c r="U34" s="139"/>
      <c r="V34" s="50"/>
      <c r="W34" s="50"/>
      <c r="X34" s="50"/>
      <c r="Y34" s="50"/>
      <c r="Z34" s="50"/>
      <c r="AA34" s="50"/>
      <c r="AB34" s="57" t="s">
        <v>417</v>
      </c>
      <c r="AC34" s="50"/>
      <c r="AD34" s="50"/>
      <c r="AE34" s="50"/>
      <c r="AF34" s="50"/>
      <c r="AG34" s="50"/>
      <c r="AH34" s="50"/>
      <c r="AI34" s="57" t="s">
        <v>417</v>
      </c>
      <c r="AL34" s="128"/>
      <c r="AM34" s="128"/>
      <c r="AN34" s="128"/>
      <c r="AO34" s="128"/>
      <c r="AP34" s="128"/>
    </row>
    <row r="35" ht="14.25" customHeight="1">
      <c r="Q35" s="537"/>
      <c r="R35" s="537"/>
      <c r="S35" s="538"/>
      <c r="T35" s="89"/>
      <c r="U35" s="545"/>
      <c r="V35" s="546"/>
      <c r="W35" s="546"/>
      <c r="X35" s="546"/>
      <c r="Y35" s="546"/>
      <c r="Z35" s="546"/>
      <c r="AA35" s="546"/>
      <c r="AB35" s="546"/>
      <c r="AC35" s="546"/>
      <c r="AD35" s="546"/>
      <c r="AE35" s="546"/>
      <c r="AF35" s="546"/>
      <c r="AG35" s="546"/>
      <c r="AH35" s="546"/>
      <c r="AI35" s="546"/>
    </row>
    <row r="36" ht="14.25" customHeight="1">
      <c r="Q36" s="537"/>
      <c r="R36" s="537"/>
      <c r="S36" s="156" t="s">
        <v>288</v>
      </c>
      <c r="T36" s="156"/>
      <c r="U36" s="156"/>
      <c r="V36" s="156"/>
      <c r="W36" s="156"/>
      <c r="X36" s="156"/>
      <c r="Y36" s="156"/>
      <c r="Z36" s="156"/>
      <c r="AA36" s="156"/>
      <c r="AB36" s="156"/>
      <c r="AC36" s="156"/>
      <c r="AD36" s="156"/>
      <c r="AE36" s="156"/>
      <c r="AF36" s="156"/>
      <c r="AG36" s="156"/>
      <c r="AH36" s="156"/>
      <c r="AI36" s="156"/>
      <c r="AJ36" s="156"/>
      <c r="AK36" s="156" t="s">
        <v>289</v>
      </c>
    </row>
    <row r="37" ht="14.25" customHeight="1">
      <c r="Q37" s="537"/>
      <c r="R37" s="537"/>
      <c r="S37" s="483" t="s">
        <v>85</v>
      </c>
      <c r="T37" s="347" t="s">
        <v>418</v>
      </c>
      <c r="U37" s="547"/>
      <c r="V37" s="548" t="s">
        <v>419</v>
      </c>
      <c r="W37" s="549"/>
      <c r="X37" s="549"/>
      <c r="Y37" s="549"/>
      <c r="Z37" s="549"/>
      <c r="AA37" s="550"/>
      <c r="AB37" s="551" t="s">
        <v>420</v>
      </c>
      <c r="AC37" s="548" t="s">
        <v>419</v>
      </c>
      <c r="AD37" s="549"/>
      <c r="AE37" s="549"/>
      <c r="AF37" s="549"/>
      <c r="AG37" s="549"/>
      <c r="AH37" s="550"/>
      <c r="AI37" s="551" t="s">
        <v>421</v>
      </c>
      <c r="AJ37" s="552" t="s">
        <v>422</v>
      </c>
      <c r="AK37" s="156"/>
    </row>
    <row r="38" ht="33.75" customHeight="1">
      <c r="Q38" s="537"/>
      <c r="R38" s="537"/>
      <c r="S38" s="483"/>
      <c r="T38" s="347"/>
      <c r="U38" s="553"/>
      <c r="V38" s="306" t="s">
        <v>520</v>
      </c>
      <c r="W38" s="73" t="s">
        <v>521</v>
      </c>
      <c r="X38" s="72"/>
      <c r="Y38" s="73" t="s">
        <v>426</v>
      </c>
      <c r="Z38" s="144"/>
      <c r="AA38" s="72"/>
      <c r="AB38" s="555"/>
      <c r="AC38" s="306" t="s">
        <v>520</v>
      </c>
      <c r="AD38" s="73" t="s">
        <v>521</v>
      </c>
      <c r="AE38" s="72"/>
      <c r="AF38" s="73" t="s">
        <v>426</v>
      </c>
      <c r="AG38" s="144"/>
      <c r="AH38" s="72"/>
      <c r="AI38" s="555"/>
      <c r="AJ38" s="556"/>
      <c r="AK38" s="156"/>
    </row>
    <row r="39" ht="86.25" customHeight="1">
      <c r="A39" s="150"/>
      <c r="B39" s="150" t="s">
        <v>137</v>
      </c>
      <c r="C39" s="150" t="s">
        <v>138</v>
      </c>
      <c r="D39" s="150" t="s">
        <v>139</v>
      </c>
      <c r="E39" s="480" t="s">
        <v>427</v>
      </c>
      <c r="F39" s="480" t="s">
        <v>428</v>
      </c>
      <c r="G39" s="480" t="s">
        <v>429</v>
      </c>
      <c r="H39" s="480"/>
      <c r="I39" s="480" t="s">
        <v>480</v>
      </c>
      <c r="J39" s="480" t="s">
        <v>432</v>
      </c>
      <c r="K39" s="480" t="s">
        <v>481</v>
      </c>
      <c r="L39" s="480" t="s">
        <v>408</v>
      </c>
      <c r="Q39" s="537"/>
      <c r="R39" s="537"/>
      <c r="S39" s="483"/>
      <c r="T39" s="347"/>
      <c r="U39" s="557"/>
      <c r="V39" s="306" t="s">
        <v>522</v>
      </c>
      <c r="W39" s="247" t="s">
        <v>523</v>
      </c>
      <c r="X39" s="247" t="s">
        <v>524</v>
      </c>
      <c r="Y39" s="247" t="s">
        <v>436</v>
      </c>
      <c r="Z39" s="414" t="s">
        <v>437</v>
      </c>
      <c r="AA39" s="416"/>
      <c r="AB39" s="559"/>
      <c r="AC39" s="306" t="s">
        <v>522</v>
      </c>
      <c r="AD39" s="247" t="s">
        <v>523</v>
      </c>
      <c r="AE39" s="247" t="s">
        <v>524</v>
      </c>
      <c r="AF39" s="247" t="s">
        <v>436</v>
      </c>
      <c r="AG39" s="414" t="s">
        <v>437</v>
      </c>
      <c r="AH39" s="416"/>
      <c r="AI39" s="559"/>
      <c r="AJ39" s="560"/>
      <c r="AK39" s="156"/>
    </row>
    <row r="40" s="130" customFormat="1" ht="11.25" hidden="1" customHeight="1">
      <c r="A40" s="150"/>
      <c r="B40" s="150"/>
      <c r="C40" s="150"/>
      <c r="D40" s="150"/>
      <c r="E40" s="150"/>
      <c r="F40" s="150"/>
      <c r="G40" s="150"/>
      <c r="H40" s="150"/>
      <c r="I40" s="150"/>
      <c r="J40" s="150"/>
      <c r="K40" s="150"/>
      <c r="L40" s="480"/>
      <c r="M40" s="61"/>
      <c r="N40" s="61"/>
      <c r="O40" s="61"/>
      <c r="P40" s="561"/>
      <c r="Q40" s="562"/>
      <c r="R40" s="563">
        <v>1</v>
      </c>
      <c r="S40" s="564" t="s">
        <v>111</v>
      </c>
      <c r="T40" s="565" t="s">
        <v>99</v>
      </c>
      <c r="U40" s="566" t="str">
        <f ca="1">OFFSET(U40,0,-1)</f>
        <v>2</v>
      </c>
      <c r="V40" s="567">
        <f ca="1">OFFSET(V40,0,-1)+1</f>
        <v>3</v>
      </c>
      <c r="W40" s="567">
        <f ca="1">OFFSET(W40,0,-1)+1</f>
        <v>4</v>
      </c>
      <c r="X40" s="567">
        <f ca="1">OFFSET(X40,0,-1)+1</f>
        <v>5</v>
      </c>
      <c r="Y40" s="567">
        <f ca="1">OFFSET(Y40,0,-1)+1</f>
        <v>6</v>
      </c>
      <c r="Z40" s="567">
        <f ca="1">OFFSET(Z40,0,-1)+1</f>
        <v>7</v>
      </c>
      <c r="AA40" s="567"/>
      <c r="AB40" s="567">
        <f ca="1">OFFSET(AB40,0,-2)+1</f>
        <v>8</v>
      </c>
      <c r="AC40" s="567">
        <f ca="1">OFFSET(AC40,0,-1)+1</f>
        <v>9</v>
      </c>
      <c r="AD40" s="567">
        <f ca="1">OFFSET(AD40,0,-1)+1</f>
        <v>10</v>
      </c>
      <c r="AE40" s="567">
        <f ca="1">OFFSET(AE40,0,-1)+1</f>
        <v>11</v>
      </c>
      <c r="AF40" s="567">
        <f ca="1">OFFSET(AF40,0,-1)+1</f>
        <v>12</v>
      </c>
      <c r="AG40" s="567">
        <f ca="1">OFFSET(AG40,0,-1)+1</f>
        <v>13</v>
      </c>
      <c r="AH40" s="567"/>
      <c r="AI40" s="567">
        <f ca="1">OFFSET(AI40,0,-2)+1</f>
        <v>14</v>
      </c>
      <c r="AJ40" s="566">
        <f ca="1">OFFSET(AJ40,0,-1)</f>
        <v>14</v>
      </c>
      <c r="AK40" s="567">
        <f ca="1">OFFSET(AK40,0,-1)+1</f>
        <v>15</v>
      </c>
      <c r="AL40" s="57"/>
      <c r="AM40" s="57"/>
      <c r="AN40" s="57"/>
      <c r="AO40" s="57"/>
      <c r="AP40" s="57"/>
    </row>
    <row r="41" ht="23.25" customHeight="1">
      <c r="A41" s="478" t="s">
        <v>239</v>
      </c>
      <c r="B41" s="478"/>
      <c r="C41" s="478"/>
      <c r="D41" s="478"/>
      <c r="E41" s="479">
        <v>1</v>
      </c>
      <c r="F41" s="478"/>
      <c r="G41" s="478"/>
      <c r="H41" s="478"/>
      <c r="I41" s="478"/>
      <c r="J41" s="478"/>
      <c r="K41" s="478"/>
      <c r="L41" s="480"/>
      <c r="M41" s="481"/>
      <c r="N41" s="481"/>
      <c r="O41" s="481"/>
      <c r="P41" s="60"/>
      <c r="Q41" s="142"/>
      <c r="R41" s="482"/>
      <c r="S41" s="483">
        <f>INDEX(PT_DIFFERENTIATION_NUM_NTAR,MATCH(A41,PT_DIFFERENTIATION_NTAR_ID,0))</f>
        <v>0</v>
      </c>
      <c r="T41" s="484" t="s">
        <v>125</v>
      </c>
      <c r="U41" s="485"/>
      <c r="V41" s="486"/>
      <c r="W41" s="487"/>
      <c r="X41" s="487"/>
      <c r="Y41" s="487"/>
      <c r="Z41" s="487"/>
      <c r="AA41" s="487"/>
      <c r="AB41" s="488"/>
      <c r="AC41" s="486" t="str">
        <f>INDEX(PT_DIFFERENTIATION_NTAR,MATCH(A41,PT_DIFFERENTIATION_NTAR_ID,0))</f>
        <v/>
      </c>
      <c r="AD41" s="487"/>
      <c r="AE41" s="487"/>
      <c r="AF41" s="487"/>
      <c r="AG41" s="487"/>
      <c r="AH41" s="487"/>
      <c r="AI41" s="487"/>
      <c r="AJ41" s="488"/>
      <c r="AK41"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8"/>
      <c r="AN41" s="128" t="str">
        <f t="shared" si="37"/>
        <v xml:space="preserve">Наименование тарифа</v>
      </c>
      <c r="AO41" s="128"/>
      <c r="AP41" s="128"/>
    </row>
    <row r="42" ht="23.25" customHeight="1">
      <c r="A42" s="478" t="s">
        <v>239</v>
      </c>
      <c r="B42" s="478" t="s">
        <v>240</v>
      </c>
      <c r="C42" s="478"/>
      <c r="D42" s="478"/>
      <c r="E42" s="490"/>
      <c r="F42" s="479">
        <v>1</v>
      </c>
      <c r="G42" s="478"/>
      <c r="H42" s="478"/>
      <c r="I42" s="478"/>
      <c r="J42" s="478"/>
      <c r="K42" s="478"/>
      <c r="L42" s="480"/>
      <c r="M42" s="481"/>
      <c r="N42" s="481"/>
      <c r="O42" s="481"/>
      <c r="P42" s="51"/>
      <c r="Q42" s="491"/>
      <c r="R42" s="492"/>
      <c r="S42" s="483" t="str">
        <f>INDEX(PT_DIFFERENTIATION_NUM_TER,MATCH(B42,PT_DIFFERENTIATION_TER_ID,0))</f>
        <v>.</v>
      </c>
      <c r="T42" s="493" t="s">
        <v>387</v>
      </c>
      <c r="U42" s="485"/>
      <c r="V42" s="486"/>
      <c r="W42" s="487"/>
      <c r="X42" s="487"/>
      <c r="Y42" s="487"/>
      <c r="Z42" s="487"/>
      <c r="AA42" s="487"/>
      <c r="AB42" s="488"/>
      <c r="AC42" s="486" t="str">
        <f>INDEX(PT_DIFFERENTIATION_TER,MATCH(B42,PT_DIFFERENTIATION_TER_ID,0))</f>
        <v/>
      </c>
      <c r="AD42" s="487"/>
      <c r="AE42" s="487"/>
      <c r="AF42" s="487"/>
      <c r="AG42" s="487"/>
      <c r="AH42" s="487"/>
      <c r="AI42" s="487"/>
      <c r="AJ42" s="488"/>
      <c r="AK42" s="489" t="s">
        <v>388</v>
      </c>
      <c r="AM42" s="128"/>
      <c r="AN42" s="128" t="str">
        <f t="shared" si="37"/>
        <v xml:space="preserve">Территория действия тарифа</v>
      </c>
      <c r="AO42" s="128"/>
      <c r="AP42" s="128"/>
    </row>
    <row r="43" ht="23.25" customHeight="1">
      <c r="A43" s="478" t="s">
        <v>239</v>
      </c>
      <c r="B43" s="478" t="s">
        <v>240</v>
      </c>
      <c r="C43" s="478" t="s">
        <v>241</v>
      </c>
      <c r="D43" s="478"/>
      <c r="E43" s="490"/>
      <c r="F43" s="490"/>
      <c r="G43" s="479">
        <v>1</v>
      </c>
      <c r="H43" s="478"/>
      <c r="I43" s="478"/>
      <c r="J43" s="478"/>
      <c r="K43" s="478"/>
      <c r="L43" s="480"/>
      <c r="M43" s="481"/>
      <c r="N43" s="481"/>
      <c r="O43" s="481"/>
      <c r="P43" s="494"/>
      <c r="Q43" s="491"/>
      <c r="R43" s="492"/>
      <c r="S43" s="483" t="str">
        <f>INDEX(PT_DIFFERENTIATION_NUM_CS,MATCH(C43,PT_DIFFERENTIATION_CS_ID,0))</f>
        <v>..</v>
      </c>
      <c r="T43" s="495" t="s">
        <v>518</v>
      </c>
      <c r="U43" s="485"/>
      <c r="V43" s="486"/>
      <c r="W43" s="487"/>
      <c r="X43" s="487"/>
      <c r="Y43" s="487"/>
      <c r="Z43" s="487"/>
      <c r="AA43" s="487"/>
      <c r="AB43" s="488"/>
      <c r="AC43" s="486" t="str">
        <f>INDEX(PT_DIFFERENTIATION_CS,MATCH(C43,PT_DIFFERENTIATION_CS_ID,0))</f>
        <v/>
      </c>
      <c r="AD43" s="487"/>
      <c r="AE43" s="487"/>
      <c r="AF43" s="487"/>
      <c r="AG43" s="487"/>
      <c r="AH43" s="487"/>
      <c r="AI43" s="487"/>
      <c r="AJ43" s="488"/>
      <c r="AK43" s="489" t="s">
        <v>519</v>
      </c>
      <c r="AM43" s="128"/>
      <c r="AN43" s="128" t="str">
        <f t="shared" si="37"/>
        <v xml:space="preserve">Наименование централизованной системы горячего водоснабжения</v>
      </c>
      <c r="AO43" s="128"/>
      <c r="AP43" s="128"/>
    </row>
    <row r="44" ht="23.25" customHeight="1">
      <c r="A44" s="478" t="s">
        <v>239</v>
      </c>
      <c r="B44" s="478" t="s">
        <v>240</v>
      </c>
      <c r="C44" s="478" t="s">
        <v>241</v>
      </c>
      <c r="D44" s="478" t="s">
        <v>525</v>
      </c>
      <c r="E44" s="490"/>
      <c r="F44" s="490"/>
      <c r="G44" s="490"/>
      <c r="H44" s="490"/>
      <c r="I44" s="167" t="str">
        <f>S43&amp;".1"</f>
        <v>...1</v>
      </c>
      <c r="J44" s="478"/>
      <c r="K44" s="478"/>
      <c r="L44" s="480"/>
      <c r="P44" s="131">
        <v>1</v>
      </c>
      <c r="Q44" s="131"/>
      <c r="R44" s="497"/>
      <c r="S44" s="483" t="str">
        <f>$I44</f>
        <v>...1</v>
      </c>
      <c r="T44" s="498" t="s">
        <v>473</v>
      </c>
      <c r="U44" s="485"/>
      <c r="V44" s="658"/>
      <c r="W44" s="659"/>
      <c r="X44" s="659"/>
      <c r="Y44" s="659"/>
      <c r="Z44" s="659"/>
      <c r="AA44" s="659"/>
      <c r="AB44" s="660"/>
      <c r="AC44" s="661"/>
      <c r="AD44" s="662"/>
      <c r="AE44" s="662"/>
      <c r="AF44" s="662"/>
      <c r="AG44" s="662"/>
      <c r="AH44" s="662"/>
      <c r="AI44" s="662"/>
      <c r="AJ44" s="663"/>
      <c r="AK44" s="489" t="s">
        <v>474</v>
      </c>
      <c r="AM44" s="128"/>
      <c r="AN44" s="128" t="str">
        <f t="shared" si="37"/>
        <v xml:space="preserve">Наименование признака дифференциации</v>
      </c>
      <c r="AO44" s="128"/>
      <c r="AP44" s="128"/>
    </row>
    <row r="45" ht="23.25" customHeight="1">
      <c r="A45" s="478" t="s">
        <v>239</v>
      </c>
      <c r="B45" s="478" t="s">
        <v>240</v>
      </c>
      <c r="C45" s="478" t="s">
        <v>241</v>
      </c>
      <c r="D45" s="478" t="s">
        <v>525</v>
      </c>
      <c r="E45" s="490"/>
      <c r="F45" s="490"/>
      <c r="G45" s="490"/>
      <c r="H45" s="490"/>
      <c r="I45" s="501"/>
      <c r="J45" s="167" t="str">
        <f>I44&amp;".1"</f>
        <v>...1.1</v>
      </c>
      <c r="K45" s="478"/>
      <c r="L45" s="480" t="s">
        <v>396</v>
      </c>
      <c r="P45" s="131"/>
      <c r="Q45" s="131">
        <v>1</v>
      </c>
      <c r="R45" s="502"/>
      <c r="S45" s="483" t="str">
        <f>$J45</f>
        <v>...1.1</v>
      </c>
      <c r="T45" s="503" t="s">
        <v>397</v>
      </c>
      <c r="U45" s="485"/>
      <c r="V45" s="430"/>
      <c r="W45" s="499"/>
      <c r="X45" s="499"/>
      <c r="Y45" s="499"/>
      <c r="Z45" s="499"/>
      <c r="AA45" s="499"/>
      <c r="AB45" s="500"/>
      <c r="AC45" s="430"/>
      <c r="AD45" s="499"/>
      <c r="AE45" s="499"/>
      <c r="AF45" s="499"/>
      <c r="AG45" s="499"/>
      <c r="AH45" s="499"/>
      <c r="AI45" s="499"/>
      <c r="AJ45" s="500"/>
      <c r="AK45" s="593" t="s">
        <v>475</v>
      </c>
      <c r="AM45" s="128"/>
      <c r="AN45" s="128" t="str">
        <f t="shared" si="37"/>
        <v xml:space="preserve">Группа потребителей</v>
      </c>
      <c r="AO45" s="128"/>
      <c r="AP45" s="128"/>
    </row>
    <row r="46" ht="23.25" customHeight="1">
      <c r="A46" s="478" t="s">
        <v>239</v>
      </c>
      <c r="B46" s="478" t="s">
        <v>240</v>
      </c>
      <c r="C46" s="478" t="s">
        <v>241</v>
      </c>
      <c r="D46" s="478" t="s">
        <v>525</v>
      </c>
      <c r="E46" s="490"/>
      <c r="F46" s="490"/>
      <c r="G46" s="490"/>
      <c r="H46" s="490"/>
      <c r="I46" s="501"/>
      <c r="J46" s="501"/>
      <c r="K46" s="167" t="str">
        <f>J45&amp;".1"</f>
        <v>...1.1.1</v>
      </c>
      <c r="L46" s="480"/>
      <c r="P46" s="131"/>
      <c r="Q46" s="131"/>
      <c r="R46" s="502">
        <v>1</v>
      </c>
      <c r="S46" s="483" t="str">
        <f>$K46</f>
        <v>...1.1.1</v>
      </c>
      <c r="T46" s="664"/>
      <c r="U46" s="485"/>
      <c r="V46" s="531"/>
      <c r="W46" s="531"/>
      <c r="X46" s="532"/>
      <c r="Y46" s="533"/>
      <c r="Z46" s="534" t="s">
        <v>56</v>
      </c>
      <c r="AA46" s="533"/>
      <c r="AB46" s="534" t="s">
        <v>56</v>
      </c>
      <c r="AC46" s="505"/>
      <c r="AD46" s="505"/>
      <c r="AE46" s="507"/>
      <c r="AF46" s="508"/>
      <c r="AG46" s="225" t="s">
        <v>56</v>
      </c>
      <c r="AH46" s="568"/>
      <c r="AI46" s="225" t="s">
        <v>54</v>
      </c>
      <c r="AJ46" s="665"/>
      <c r="AK46"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8"/>
      <c r="AN46" s="128" t="str">
        <f t="shared" si="37"/>
        <v/>
      </c>
      <c r="AO46" s="128"/>
      <c r="AP46" s="128"/>
    </row>
    <row r="47" ht="0" customHeight="1">
      <c r="A47" s="478" t="s">
        <v>239</v>
      </c>
      <c r="B47" s="478" t="s">
        <v>240</v>
      </c>
      <c r="C47" s="478" t="s">
        <v>241</v>
      </c>
      <c r="D47" s="478" t="s">
        <v>525</v>
      </c>
      <c r="E47" s="490"/>
      <c r="F47" s="490"/>
      <c r="G47" s="490"/>
      <c r="H47" s="490"/>
      <c r="I47" s="501"/>
      <c r="J47" s="501"/>
      <c r="K47" s="167"/>
      <c r="L47" s="480"/>
      <c r="P47" s="131"/>
      <c r="Q47" s="131"/>
      <c r="R47" s="502"/>
      <c r="S47" s="457"/>
      <c r="T47" s="485"/>
      <c r="U47" s="485"/>
      <c r="V47" s="531"/>
      <c r="W47" s="531"/>
      <c r="X47" s="510" t="str">
        <f>Y46&amp;"-"&amp;AA46</f>
        <v>-</v>
      </c>
      <c r="Y47" s="534"/>
      <c r="Z47" s="534"/>
      <c r="AA47" s="534"/>
      <c r="AB47" s="534"/>
      <c r="AC47" s="506"/>
      <c r="AD47" s="506"/>
      <c r="AE47" s="510" t="str">
        <f>AF46&amp;"-"&amp;AH46</f>
        <v>-</v>
      </c>
      <c r="AF47" s="511"/>
      <c r="AG47" s="225"/>
      <c r="AH47" s="570"/>
      <c r="AI47" s="225"/>
      <c r="AJ47" s="667"/>
      <c r="AK47" s="666"/>
      <c r="AM47" s="128"/>
      <c r="AN47" s="128" t="str">
        <f t="shared" si="37"/>
        <v/>
      </c>
      <c r="AO47" s="128"/>
      <c r="AP47" s="128"/>
    </row>
    <row r="48" ht="21" customHeight="1">
      <c r="A48" s="478" t="s">
        <v>239</v>
      </c>
      <c r="B48" s="478" t="s">
        <v>240</v>
      </c>
      <c r="C48" s="478" t="s">
        <v>241</v>
      </c>
      <c r="D48" s="478" t="s">
        <v>525</v>
      </c>
      <c r="E48" s="490"/>
      <c r="F48" s="490"/>
      <c r="G48" s="490"/>
      <c r="H48" s="490"/>
      <c r="I48" s="501"/>
      <c r="J48" s="167"/>
      <c r="K48" s="478"/>
      <c r="L48" s="480"/>
      <c r="P48" s="131"/>
      <c r="Q48" s="131"/>
      <c r="R48" s="497"/>
      <c r="S48" s="513"/>
      <c r="T48" s="517" t="s">
        <v>476</v>
      </c>
      <c r="U48" s="215"/>
      <c r="V48" s="215"/>
      <c r="W48" s="215"/>
      <c r="X48" s="215"/>
      <c r="Y48" s="215"/>
      <c r="Z48" s="215"/>
      <c r="AA48" s="215"/>
      <c r="AB48" s="215"/>
      <c r="AC48" s="215"/>
      <c r="AD48" s="215"/>
      <c r="AE48" s="215"/>
      <c r="AF48" s="215"/>
      <c r="AG48" s="215"/>
      <c r="AH48" s="215"/>
      <c r="AI48" s="215"/>
      <c r="AJ48" s="215"/>
      <c r="AK48" s="489" t="s">
        <v>477</v>
      </c>
      <c r="AM48" s="128"/>
      <c r="AN48" s="128" t="str">
        <f t="shared" si="37"/>
        <v xml:space="preserve">Добавить значение признака дифференциации</v>
      </c>
      <c r="AO48" s="128"/>
      <c r="AP48" s="128"/>
    </row>
    <row r="49" ht="21" customHeight="1">
      <c r="A49" s="478" t="s">
        <v>239</v>
      </c>
      <c r="B49" s="478" t="s">
        <v>240</v>
      </c>
      <c r="C49" s="478" t="s">
        <v>241</v>
      </c>
      <c r="D49" s="478" t="s">
        <v>525</v>
      </c>
      <c r="E49" s="490"/>
      <c r="F49" s="490"/>
      <c r="G49" s="490"/>
      <c r="H49" s="490"/>
      <c r="I49" s="167"/>
      <c r="J49" s="478"/>
      <c r="K49" s="478"/>
      <c r="L49" s="480"/>
      <c r="P49" s="131"/>
      <c r="Q49" s="131"/>
      <c r="R49" s="497"/>
      <c r="S49" s="513"/>
      <c r="T49" s="521" t="s">
        <v>402</v>
      </c>
      <c r="U49" s="215"/>
      <c r="V49" s="215"/>
      <c r="W49" s="215"/>
      <c r="X49" s="215"/>
      <c r="Y49" s="215"/>
      <c r="Z49" s="215"/>
      <c r="AA49" s="215"/>
      <c r="AB49" s="518"/>
      <c r="AC49" s="215"/>
      <c r="AD49" s="215"/>
      <c r="AE49" s="215"/>
      <c r="AF49" s="215"/>
      <c r="AG49" s="215"/>
      <c r="AH49" s="215"/>
      <c r="AI49" s="518"/>
      <c r="AJ49" s="215"/>
      <c r="AK49" s="668"/>
      <c r="AM49" s="128"/>
      <c r="AN49" s="128" t="str">
        <f t="shared" si="37"/>
        <v xml:space="preserve">Добавить группу потребителей</v>
      </c>
      <c r="AO49" s="128"/>
      <c r="AP49" s="128"/>
    </row>
    <row r="50" ht="21" customHeight="1">
      <c r="A50" s="478" t="s">
        <v>239</v>
      </c>
      <c r="B50" s="478" t="s">
        <v>240</v>
      </c>
      <c r="C50" s="478" t="s">
        <v>241</v>
      </c>
      <c r="D50" s="478" t="s">
        <v>525</v>
      </c>
      <c r="E50" s="490"/>
      <c r="F50" s="490"/>
      <c r="G50" s="490"/>
      <c r="H50" s="479"/>
      <c r="I50" s="478"/>
      <c r="J50" s="478"/>
      <c r="K50" s="478"/>
      <c r="L50" s="480"/>
      <c r="M50" s="481"/>
      <c r="N50" s="481"/>
      <c r="O50" s="53"/>
      <c r="P50" s="142"/>
      <c r="Q50" s="520"/>
      <c r="R50" s="482"/>
      <c r="S50" s="513"/>
      <c r="T50" s="669" t="s">
        <v>478</v>
      </c>
      <c r="U50" s="215"/>
      <c r="V50" s="215"/>
      <c r="W50" s="215"/>
      <c r="X50" s="215"/>
      <c r="Y50" s="215"/>
      <c r="Z50" s="215"/>
      <c r="AA50" s="215"/>
      <c r="AB50" s="518"/>
      <c r="AC50" s="215"/>
      <c r="AD50" s="215"/>
      <c r="AE50" s="215"/>
      <c r="AF50" s="215"/>
      <c r="AG50" s="215"/>
      <c r="AH50" s="215"/>
      <c r="AI50" s="518"/>
      <c r="AJ50" s="215"/>
      <c r="AK50" s="519"/>
      <c r="AM50" s="128"/>
      <c r="AN50" s="128" t="str">
        <f t="shared" si="37"/>
        <v xml:space="preserve">Добавить наименование признака дифференциации</v>
      </c>
      <c r="AO50" s="128"/>
      <c r="AP50" s="128"/>
    </row>
    <row r="51" s="57" customFormat="1" ht="0" customHeight="1">
      <c r="A51" s="132" t="s">
        <v>239</v>
      </c>
      <c r="B51" s="132" t="s">
        <v>240</v>
      </c>
      <c r="C51" s="132"/>
      <c r="D51" s="132"/>
      <c r="E51" s="490"/>
      <c r="F51" s="479"/>
      <c r="G51" s="132"/>
      <c r="H51" s="132"/>
      <c r="I51" s="132"/>
      <c r="J51" s="132"/>
      <c r="K51" s="132"/>
      <c r="L51" s="213"/>
      <c r="M51" s="526"/>
      <c r="N51" s="526"/>
      <c r="P51" s="166"/>
      <c r="Q51" s="522"/>
      <c r="R51" s="166"/>
      <c r="S51" s="527"/>
      <c r="T51" s="530" t="s">
        <v>405</v>
      </c>
      <c r="U51" s="529"/>
      <c r="V51" s="529"/>
      <c r="W51" s="529"/>
      <c r="X51" s="529"/>
      <c r="Y51" s="529"/>
      <c r="Z51" s="529"/>
      <c r="AA51" s="529"/>
      <c r="AB51" s="529"/>
      <c r="AC51" s="529"/>
      <c r="AD51" s="529"/>
      <c r="AE51" s="529"/>
      <c r="AF51" s="529"/>
      <c r="AG51" s="529"/>
      <c r="AH51" s="529"/>
      <c r="AI51" s="529"/>
      <c r="AJ51" s="529"/>
      <c r="AK51" s="529"/>
      <c r="AM51" s="128"/>
      <c r="AN51" s="128" t="str">
        <f t="shared" si="37"/>
        <v xml:space="preserve">Добавить централизованную систему для дифференциации</v>
      </c>
      <c r="AO51" s="128"/>
      <c r="AP51" s="128"/>
    </row>
    <row r="52" s="57" customFormat="1" ht="0" customHeight="1">
      <c r="A52" s="132" t="s">
        <v>239</v>
      </c>
      <c r="B52" s="132"/>
      <c r="C52" s="132"/>
      <c r="D52" s="132"/>
      <c r="E52" s="479"/>
      <c r="F52" s="132"/>
      <c r="G52" s="132"/>
      <c r="H52" s="132"/>
      <c r="I52" s="132"/>
      <c r="J52" s="132"/>
      <c r="K52" s="132"/>
      <c r="L52" s="213"/>
      <c r="M52" s="526"/>
      <c r="N52" s="526"/>
      <c r="O52" s="57"/>
      <c r="P52" s="166"/>
      <c r="Q52" s="522"/>
      <c r="R52" s="166"/>
      <c r="S52" s="527"/>
      <c r="T52" s="530" t="s">
        <v>406</v>
      </c>
      <c r="U52" s="529"/>
      <c r="V52" s="529"/>
      <c r="W52" s="529"/>
      <c r="X52" s="529"/>
      <c r="Y52" s="529"/>
      <c r="Z52" s="529"/>
      <c r="AA52" s="529"/>
      <c r="AB52" s="529"/>
      <c r="AC52" s="529"/>
      <c r="AD52" s="529"/>
      <c r="AE52" s="529"/>
      <c r="AF52" s="529"/>
      <c r="AG52" s="529"/>
      <c r="AH52" s="529"/>
      <c r="AI52" s="529"/>
      <c r="AJ52" s="529"/>
      <c r="AK52" s="529"/>
      <c r="AM52" s="128"/>
      <c r="AN52" s="128" t="str">
        <f t="shared" si="37"/>
        <v xml:space="preserve">Добавить территорию для дифференциации</v>
      </c>
      <c r="AO52" s="128"/>
      <c r="AP52" s="128"/>
    </row>
    <row r="53" s="57" customFormat="1" ht="0" customHeight="1">
      <c r="A53" s="132"/>
      <c r="B53" s="132"/>
      <c r="C53" s="132"/>
      <c r="D53" s="132"/>
      <c r="E53" s="132"/>
      <c r="F53" s="132"/>
      <c r="G53" s="132"/>
      <c r="H53" s="132"/>
      <c r="I53" s="132"/>
      <c r="J53" s="132"/>
      <c r="K53" s="132"/>
      <c r="L53" s="213"/>
      <c r="M53" s="526"/>
      <c r="N53" s="526"/>
      <c r="P53" s="166"/>
      <c r="Q53" s="522"/>
      <c r="R53" s="166"/>
      <c r="S53" s="527"/>
      <c r="T53" s="530" t="s">
        <v>438</v>
      </c>
      <c r="U53" s="529"/>
      <c r="V53" s="529"/>
      <c r="W53" s="529"/>
      <c r="X53" s="529"/>
      <c r="Y53" s="529"/>
      <c r="Z53" s="529"/>
      <c r="AA53" s="529"/>
      <c r="AB53" s="529"/>
      <c r="AC53" s="529"/>
      <c r="AD53" s="529"/>
      <c r="AE53" s="529"/>
      <c r="AF53" s="529"/>
      <c r="AG53" s="529"/>
      <c r="AH53" s="529"/>
      <c r="AI53" s="529"/>
      <c r="AJ53" s="529"/>
      <c r="AK53" s="529"/>
      <c r="AM53" s="128"/>
      <c r="AN53" s="128" t="str">
        <f t="shared" si="37"/>
        <v xml:space="preserve">Добавить наименование тарифа</v>
      </c>
      <c r="AO53" s="128"/>
      <c r="AP53" s="128"/>
    </row>
    <row r="54" ht="11.25" customHeight="1">
      <c r="M54" s="53"/>
      <c r="N54" s="53"/>
      <c r="O54" s="53"/>
      <c r="P54" s="50"/>
      <c r="Q54" s="50"/>
      <c r="R54" s="50"/>
      <c r="S54" s="50"/>
      <c r="AL54" s="50"/>
      <c r="AM54" s="50"/>
      <c r="AN54" s="50"/>
      <c r="AO54" s="50"/>
      <c r="AP54" s="50"/>
    </row>
    <row r="55" ht="14.25" customHeight="1">
      <c r="O55" s="53"/>
      <c r="S55" s="475"/>
      <c r="T55" s="572"/>
      <c r="U55" s="572"/>
      <c r="V55" s="572"/>
      <c r="W55" s="572"/>
      <c r="X55" s="572"/>
      <c r="Y55" s="572"/>
      <c r="Z55" s="572"/>
      <c r="AA55" s="572"/>
      <c r="AB55" s="572"/>
      <c r="AC55" s="572"/>
      <c r="AD55" s="572"/>
      <c r="AE55" s="572"/>
      <c r="AF55" s="572"/>
      <c r="AG55" s="572"/>
      <c r="AH55" s="572"/>
      <c r="AI55" s="572"/>
      <c r="AJ55" s="572"/>
      <c r="AK55" s="572"/>
    </row>
    <row r="56" ht="14.25" customHeight="1">
      <c r="O56" s="53"/>
    </row>
    <row r="57" ht="14.25" customHeight="1">
      <c r="O57" s="53"/>
      <c r="S57" s="475"/>
      <c r="T57" s="572"/>
      <c r="U57" s="572"/>
      <c r="V57" s="572"/>
      <c r="W57" s="572"/>
      <c r="X57" s="572"/>
      <c r="Y57" s="572"/>
      <c r="Z57" s="572"/>
      <c r="AA57" s="572"/>
      <c r="AB57" s="572"/>
      <c r="AC57" s="572"/>
      <c r="AD57" s="572"/>
      <c r="AE57" s="572"/>
      <c r="AF57" s="572"/>
      <c r="AG57" s="572"/>
      <c r="AH57" s="572"/>
      <c r="AI57" s="572"/>
      <c r="AJ57" s="572"/>
      <c r="AK57" s="572"/>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460040-001E-473E-BA77-00D600590000}"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CD00B1-00EE-4FD2-A99A-004B003200E2}"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AF0061-00E1-4680-8889-00C200D6003D}"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5100AC-0055-46FF-958C-004F0014004B}"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P23" zoomScale="9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7109375"/>
    <col customWidth="1" min="17" max="18" style="477" width="3.7109375"/>
    <col customWidth="1" min="19" max="19" style="322" width="12.7109375"/>
    <col customWidth="1" min="20" max="20" style="50" width="35.710937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31" style="50" width="24.7109375"/>
    <col customWidth="1" min="32" max="32" style="50" width="11.7109375"/>
    <col customWidth="1" min="33" max="33" style="50" width="3.7109375"/>
    <col customWidth="1" min="34" max="34" style="50" width="11.7109375"/>
    <col customWidth="1" hidden="1" min="35" max="35" style="50" width="8.57421875"/>
    <col customWidth="1" min="36" max="36" style="50" width="4.7109375"/>
    <col customWidth="1" min="37" max="37" style="50" width="115.7109375"/>
    <col min="38" max="39" style="57" width="10.57421875"/>
    <col customWidth="1" min="40" max="40" style="57" width="11.140625"/>
    <col min="41" max="42" style="57" width="10.57421875"/>
  </cols>
  <sheetData>
    <row r="1" ht="14.25" hidden="1" customHeight="1">
      <c r="X1" s="50"/>
      <c r="Y1" s="50"/>
      <c r="AE1" s="50"/>
      <c r="AF1" s="50"/>
    </row>
    <row r="2" ht="23.25" hidden="1" customHeight="1">
      <c r="A2" s="478"/>
      <c r="B2" s="478"/>
      <c r="C2" s="478"/>
      <c r="D2" s="478"/>
      <c r="E2" s="479">
        <v>1</v>
      </c>
      <c r="F2" s="478"/>
      <c r="G2" s="478"/>
      <c r="H2" s="478"/>
      <c r="I2" s="478"/>
      <c r="J2" s="478"/>
      <c r="K2" s="478"/>
      <c r="L2" s="480"/>
      <c r="M2" s="481"/>
      <c r="N2" s="481"/>
      <c r="O2" s="481"/>
      <c r="P2" s="60"/>
      <c r="Q2" s="142"/>
      <c r="R2" s="482"/>
      <c r="S2" s="483" t="e">
        <f>INDEX(PT_DIFFERENTIATION_NUM_NTAR,MATCH(A2,PT_DIFFERENTIATION_NTAR_ID,0))</f>
        <v>#VALUE!</v>
      </c>
      <c r="T2" s="484" t="s">
        <v>125</v>
      </c>
      <c r="U2" s="485"/>
      <c r="V2" s="486"/>
      <c r="W2" s="487"/>
      <c r="X2" s="487"/>
      <c r="Y2" s="487"/>
      <c r="Z2" s="487"/>
      <c r="AA2" s="487"/>
      <c r="AB2" s="488"/>
      <c r="AC2" s="486" t="e">
        <f>INDEX(PT_DIFFERENTIATION_NTAR,MATCH(A2,PT_DIFFERENTIATION_NTAR_ID,0))</f>
        <v>#VALUE!</v>
      </c>
      <c r="AD2" s="487"/>
      <c r="AE2" s="487"/>
      <c r="AF2" s="487"/>
      <c r="AG2" s="487"/>
      <c r="AH2" s="487"/>
      <c r="AI2" s="487"/>
      <c r="AJ2" s="488"/>
      <c r="AK2"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8"/>
      <c r="AN2" s="128" t="str">
        <f t="shared" ref="AN2:AN9" si="38">IF(T2="","",T2)</f>
        <v xml:space="preserve">Наименование тарифа</v>
      </c>
      <c r="AO2" s="128"/>
      <c r="AP2" s="128"/>
    </row>
    <row r="3" ht="23.25" hidden="1" customHeight="1">
      <c r="A3" s="478"/>
      <c r="B3" s="478"/>
      <c r="C3" s="478"/>
      <c r="D3" s="478"/>
      <c r="E3" s="490"/>
      <c r="F3" s="479">
        <v>1</v>
      </c>
      <c r="G3" s="478"/>
      <c r="H3" s="478"/>
      <c r="I3" s="478"/>
      <c r="J3" s="478"/>
      <c r="K3" s="478"/>
      <c r="L3" s="480"/>
      <c r="M3" s="481"/>
      <c r="N3" s="481"/>
      <c r="O3" s="481"/>
      <c r="P3" s="51"/>
      <c r="Q3" s="491"/>
      <c r="R3" s="492"/>
      <c r="S3" s="483" t="e">
        <f>INDEX(PT_DIFFERENTIATION_NUM_TER,MATCH(B3,PT_DIFFERENTIATION_TER_ID,0))</f>
        <v>#VALUE!</v>
      </c>
      <c r="T3" s="493" t="s">
        <v>387</v>
      </c>
      <c r="U3" s="485"/>
      <c r="V3" s="486"/>
      <c r="W3" s="487"/>
      <c r="X3" s="487"/>
      <c r="Y3" s="487"/>
      <c r="Z3" s="487"/>
      <c r="AA3" s="487"/>
      <c r="AB3" s="488"/>
      <c r="AC3" s="486" t="e">
        <f>INDEX(PT_DIFFERENTIATION_TER,MATCH(B3,PT_DIFFERENTIATION_TER_ID,0))</f>
        <v>#VALUE!</v>
      </c>
      <c r="AD3" s="487"/>
      <c r="AE3" s="487"/>
      <c r="AF3" s="487"/>
      <c r="AG3" s="487"/>
      <c r="AH3" s="487"/>
      <c r="AI3" s="487"/>
      <c r="AJ3" s="488"/>
      <c r="AK3" s="489" t="s">
        <v>388</v>
      </c>
      <c r="AM3" s="128"/>
      <c r="AN3" s="128" t="str">
        <f t="shared" si="38"/>
        <v xml:space="preserve">Территория действия тарифа</v>
      </c>
      <c r="AO3" s="128"/>
      <c r="AP3" s="128"/>
    </row>
    <row r="4" ht="23.25" hidden="1" customHeight="1">
      <c r="A4" s="478"/>
      <c r="B4" s="478"/>
      <c r="C4" s="478"/>
      <c r="D4" s="478"/>
      <c r="E4" s="490"/>
      <c r="F4" s="490"/>
      <c r="G4" s="479">
        <v>1</v>
      </c>
      <c r="H4" s="478"/>
      <c r="I4" s="478"/>
      <c r="J4" s="478"/>
      <c r="K4" s="478"/>
      <c r="L4" s="480"/>
      <c r="M4" s="481"/>
      <c r="N4" s="481"/>
      <c r="O4" s="481"/>
      <c r="P4" s="494"/>
      <c r="Q4" s="491"/>
      <c r="R4" s="492"/>
      <c r="S4" s="483" t="e">
        <f>INDEX(PT_DIFFERENTIATION_NUM_CS,MATCH(C4,PT_DIFFERENTIATION_CS_ID,0))</f>
        <v>#VALUE!</v>
      </c>
      <c r="T4" s="495" t="s">
        <v>518</v>
      </c>
      <c r="U4" s="485"/>
      <c r="V4" s="486"/>
      <c r="W4" s="487"/>
      <c r="X4" s="487"/>
      <c r="Y4" s="487"/>
      <c r="Z4" s="487"/>
      <c r="AA4" s="487"/>
      <c r="AB4" s="488"/>
      <c r="AC4" s="486" t="e">
        <f>INDEX(PT_DIFFERENTIATION_CS,MATCH(C4,PT_DIFFERENTIATION_CS_ID,0))</f>
        <v>#VALUE!</v>
      </c>
      <c r="AD4" s="487"/>
      <c r="AE4" s="487"/>
      <c r="AF4" s="487"/>
      <c r="AG4" s="487"/>
      <c r="AH4" s="487"/>
      <c r="AI4" s="487"/>
      <c r="AJ4" s="488"/>
      <c r="AK4" s="489" t="s">
        <v>519</v>
      </c>
      <c r="AM4" s="128"/>
      <c r="AN4" s="128" t="str">
        <f t="shared" si="38"/>
        <v xml:space="preserve">Наименование централизованной системы горячего водоснабжения</v>
      </c>
      <c r="AO4" s="128"/>
      <c r="AP4" s="128"/>
    </row>
    <row r="5" ht="23.25" hidden="1" customHeight="1">
      <c r="A5" s="478"/>
      <c r="B5" s="478"/>
      <c r="C5" s="478"/>
      <c r="D5" s="478"/>
      <c r="E5" s="490"/>
      <c r="F5" s="490"/>
      <c r="G5" s="490"/>
      <c r="H5" s="490"/>
      <c r="I5" s="167" t="e">
        <f>S4&amp;".1"</f>
        <v>#VALUE!</v>
      </c>
      <c r="J5" s="478"/>
      <c r="K5" s="478"/>
      <c r="L5" s="480"/>
      <c r="P5" s="131">
        <v>1</v>
      </c>
      <c r="Q5" s="131"/>
      <c r="R5" s="497"/>
      <c r="S5" s="483" t="e">
        <f>$I5</f>
        <v>#VALUE!</v>
      </c>
      <c r="T5" s="498" t="s">
        <v>473</v>
      </c>
      <c r="U5" s="485"/>
      <c r="V5" s="658"/>
      <c r="W5" s="659"/>
      <c r="X5" s="659"/>
      <c r="Y5" s="659"/>
      <c r="Z5" s="659"/>
      <c r="AA5" s="659"/>
      <c r="AB5" s="660"/>
      <c r="AC5" s="661"/>
      <c r="AD5" s="662"/>
      <c r="AE5" s="662"/>
      <c r="AF5" s="662"/>
      <c r="AG5" s="662"/>
      <c r="AH5" s="662"/>
      <c r="AI5" s="662"/>
      <c r="AJ5" s="663"/>
      <c r="AK5" s="489" t="s">
        <v>474</v>
      </c>
      <c r="AM5" s="128"/>
      <c r="AN5" s="128" t="str">
        <f t="shared" si="38"/>
        <v xml:space="preserve">Наименование признака дифференциации</v>
      </c>
      <c r="AO5" s="128"/>
      <c r="AP5" s="128"/>
    </row>
    <row r="6" ht="23.25" hidden="1" customHeight="1">
      <c r="A6" s="478"/>
      <c r="B6" s="478"/>
      <c r="C6" s="478"/>
      <c r="D6" s="478"/>
      <c r="E6" s="490"/>
      <c r="F6" s="490"/>
      <c r="G6" s="490"/>
      <c r="H6" s="490"/>
      <c r="I6" s="501"/>
      <c r="J6" s="167" t="e">
        <f>I5&amp;".1"</f>
        <v>#VALUE!</v>
      </c>
      <c r="K6" s="478"/>
      <c r="L6" s="480" t="s">
        <v>396</v>
      </c>
      <c r="P6" s="131"/>
      <c r="Q6" s="131">
        <v>1</v>
      </c>
      <c r="R6" s="502"/>
      <c r="S6" s="483" t="e">
        <f>$J6</f>
        <v>#VALUE!</v>
      </c>
      <c r="T6" s="503" t="s">
        <v>397</v>
      </c>
      <c r="U6" s="485"/>
      <c r="V6" s="430"/>
      <c r="W6" s="499"/>
      <c r="X6" s="499"/>
      <c r="Y6" s="499"/>
      <c r="Z6" s="499"/>
      <c r="AA6" s="499"/>
      <c r="AB6" s="500"/>
      <c r="AC6" s="430"/>
      <c r="AD6" s="499"/>
      <c r="AE6" s="499"/>
      <c r="AF6" s="499"/>
      <c r="AG6" s="499"/>
      <c r="AH6" s="499"/>
      <c r="AI6" s="499"/>
      <c r="AJ6" s="500"/>
      <c r="AK6" s="593" t="s">
        <v>475</v>
      </c>
      <c r="AM6" s="128"/>
      <c r="AN6" s="128" t="str">
        <f t="shared" si="38"/>
        <v xml:space="preserve">Группа потребителей</v>
      </c>
      <c r="AO6" s="128"/>
      <c r="AP6" s="128"/>
    </row>
    <row r="7" ht="23.25" hidden="1" customHeight="1">
      <c r="A7" s="478"/>
      <c r="B7" s="478"/>
      <c r="C7" s="478"/>
      <c r="D7" s="478"/>
      <c r="E7" s="490"/>
      <c r="F7" s="490"/>
      <c r="G7" s="490"/>
      <c r="H7" s="490"/>
      <c r="I7" s="501"/>
      <c r="J7" s="501"/>
      <c r="K7" s="167" t="e">
        <f>J6&amp;".1"</f>
        <v>#VALUE!</v>
      </c>
      <c r="L7" s="480"/>
      <c r="P7" s="131"/>
      <c r="Q7" s="131"/>
      <c r="R7" s="502">
        <v>1</v>
      </c>
      <c r="S7" s="483" t="e">
        <f>$K7</f>
        <v>#VALUE!</v>
      </c>
      <c r="T7" s="664"/>
      <c r="U7" s="485"/>
      <c r="V7" s="505"/>
      <c r="W7" s="505"/>
      <c r="X7" s="507"/>
      <c r="Y7" s="508"/>
      <c r="Z7" s="225" t="s">
        <v>56</v>
      </c>
      <c r="AA7" s="508"/>
      <c r="AB7" s="225" t="s">
        <v>56</v>
      </c>
      <c r="AC7" s="505"/>
      <c r="AD7" s="505"/>
      <c r="AE7" s="507"/>
      <c r="AF7" s="508"/>
      <c r="AG7" s="225" t="s">
        <v>56</v>
      </c>
      <c r="AH7" s="568"/>
      <c r="AI7" s="225" t="s">
        <v>56</v>
      </c>
      <c r="AJ7" s="665"/>
      <c r="AK7"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8"/>
      <c r="AN7" s="128" t="str">
        <f t="shared" si="38"/>
        <v/>
      </c>
      <c r="AO7" s="128"/>
      <c r="AP7" s="128"/>
    </row>
    <row r="8" ht="14.25" hidden="1" customHeight="1">
      <c r="A8" s="478"/>
      <c r="B8" s="478"/>
      <c r="C8" s="478"/>
      <c r="D8" s="478"/>
      <c r="E8" s="490"/>
      <c r="F8" s="490"/>
      <c r="G8" s="490"/>
      <c r="H8" s="490"/>
      <c r="I8" s="501"/>
      <c r="J8" s="501"/>
      <c r="K8" s="167"/>
      <c r="L8" s="480"/>
      <c r="P8" s="131"/>
      <c r="Q8" s="131"/>
      <c r="R8" s="502"/>
      <c r="S8" s="457"/>
      <c r="T8" s="485"/>
      <c r="U8" s="485"/>
      <c r="V8" s="506"/>
      <c r="W8" s="506"/>
      <c r="X8" s="510" t="str">
        <f>Y7&amp;"-"&amp;AA7</f>
        <v>-</v>
      </c>
      <c r="Y8" s="511"/>
      <c r="Z8" s="225"/>
      <c r="AA8" s="511"/>
      <c r="AB8" s="225"/>
      <c r="AC8" s="506"/>
      <c r="AD8" s="506"/>
      <c r="AE8" s="510" t="str">
        <f>AF7&amp;"-"&amp;AH7</f>
        <v>-</v>
      </c>
      <c r="AF8" s="511"/>
      <c r="AG8" s="225"/>
      <c r="AH8" s="570"/>
      <c r="AI8" s="225"/>
      <c r="AJ8" s="667"/>
      <c r="AK8" s="666"/>
      <c r="AM8" s="128"/>
      <c r="AN8" s="128" t="str">
        <f t="shared" si="38"/>
        <v/>
      </c>
      <c r="AO8" s="128"/>
      <c r="AP8" s="128"/>
    </row>
    <row r="9" ht="21" hidden="1" customHeight="1">
      <c r="A9" s="478"/>
      <c r="B9" s="478"/>
      <c r="C9" s="478"/>
      <c r="D9" s="478"/>
      <c r="E9" s="490"/>
      <c r="F9" s="490"/>
      <c r="G9" s="490"/>
      <c r="H9" s="490"/>
      <c r="I9" s="501"/>
      <c r="J9" s="167"/>
      <c r="K9" s="478"/>
      <c r="L9" s="480"/>
      <c r="P9" s="131"/>
      <c r="Q9" s="131"/>
      <c r="R9" s="497"/>
      <c r="S9" s="513"/>
      <c r="T9" s="517" t="s">
        <v>476</v>
      </c>
      <c r="U9" s="215"/>
      <c r="V9" s="215"/>
      <c r="W9" s="215"/>
      <c r="X9" s="215"/>
      <c r="Y9" s="215"/>
      <c r="Z9" s="215"/>
      <c r="AA9" s="215"/>
      <c r="AB9" s="215"/>
      <c r="AC9" s="215"/>
      <c r="AD9" s="215"/>
      <c r="AE9" s="215"/>
      <c r="AF9" s="215"/>
      <c r="AG9" s="215"/>
      <c r="AH9" s="215"/>
      <c r="AI9" s="215"/>
      <c r="AJ9" s="215"/>
      <c r="AK9" s="489" t="s">
        <v>477</v>
      </c>
      <c r="AM9" s="128"/>
      <c r="AN9" s="128" t="str">
        <f t="shared" si="38"/>
        <v xml:space="preserve">Добавить значение признака дифференциации</v>
      </c>
      <c r="AO9" s="128"/>
      <c r="AP9" s="128"/>
    </row>
    <row r="10" ht="21" hidden="1" customHeight="1">
      <c r="A10" s="478"/>
      <c r="B10" s="478"/>
      <c r="C10" s="478"/>
      <c r="D10" s="478"/>
      <c r="E10" s="490"/>
      <c r="F10" s="490"/>
      <c r="G10" s="490"/>
      <c r="H10" s="490"/>
      <c r="I10" s="167"/>
      <c r="J10" s="478"/>
      <c r="K10" s="478"/>
      <c r="L10" s="480"/>
      <c r="P10" s="131"/>
      <c r="Q10" s="131"/>
      <c r="R10" s="497"/>
      <c r="S10" s="513"/>
      <c r="T10" s="521" t="s">
        <v>402</v>
      </c>
      <c r="U10" s="215"/>
      <c r="V10" s="215"/>
      <c r="W10" s="215"/>
      <c r="X10" s="215"/>
      <c r="Y10" s="215"/>
      <c r="Z10" s="215"/>
      <c r="AA10" s="215"/>
      <c r="AB10" s="518"/>
      <c r="AC10" s="215"/>
      <c r="AD10" s="215"/>
      <c r="AE10" s="215"/>
      <c r="AF10" s="215"/>
      <c r="AG10" s="215"/>
      <c r="AH10" s="215"/>
      <c r="AI10" s="518"/>
      <c r="AJ10" s="215"/>
      <c r="AK10" s="668"/>
      <c r="AM10" s="128"/>
      <c r="AN10" s="128" t="str">
        <f t="shared" ref="AN10:AN53" si="39">IF(T10="","",T10)</f>
        <v xml:space="preserve">Добавить группу потребителей</v>
      </c>
      <c r="AO10" s="128"/>
      <c r="AP10" s="128"/>
    </row>
    <row r="11" ht="21" hidden="1" customHeight="1">
      <c r="A11" s="478"/>
      <c r="B11" s="478"/>
      <c r="C11" s="478"/>
      <c r="D11" s="478"/>
      <c r="E11" s="490"/>
      <c r="F11" s="490"/>
      <c r="G11" s="490"/>
      <c r="H11" s="479"/>
      <c r="I11" s="478"/>
      <c r="J11" s="478"/>
      <c r="K11" s="478"/>
      <c r="L11" s="480"/>
      <c r="M11" s="481"/>
      <c r="N11" s="481"/>
      <c r="O11" s="53"/>
      <c r="P11" s="142"/>
      <c r="Q11" s="520"/>
      <c r="R11" s="482"/>
      <c r="S11" s="513"/>
      <c r="T11" s="669" t="s">
        <v>478</v>
      </c>
      <c r="U11" s="215"/>
      <c r="V11" s="215"/>
      <c r="W11" s="215"/>
      <c r="X11" s="215"/>
      <c r="Y11" s="215"/>
      <c r="Z11" s="215"/>
      <c r="AA11" s="215"/>
      <c r="AB11" s="518"/>
      <c r="AC11" s="215"/>
      <c r="AD11" s="215"/>
      <c r="AE11" s="215"/>
      <c r="AF11" s="215"/>
      <c r="AG11" s="215"/>
      <c r="AH11" s="215"/>
      <c r="AI11" s="518"/>
      <c r="AJ11" s="215"/>
      <c r="AK11" s="519"/>
      <c r="AM11" s="128"/>
      <c r="AN11" s="128" t="str">
        <f t="shared" si="39"/>
        <v xml:space="preserve">Добавить наименование признака дифференциации</v>
      </c>
      <c r="AO11" s="128"/>
      <c r="AP11" s="128"/>
    </row>
    <row r="12" s="57" customFormat="1" ht="14.25" hidden="1" customHeight="1">
      <c r="A12" s="132"/>
      <c r="B12" s="132"/>
      <c r="C12" s="132"/>
      <c r="D12" s="132"/>
      <c r="E12" s="490"/>
      <c r="F12" s="479"/>
      <c r="G12" s="132"/>
      <c r="H12" s="132"/>
      <c r="I12" s="132"/>
      <c r="J12" s="132"/>
      <c r="K12" s="132"/>
      <c r="L12" s="213"/>
      <c r="M12" s="526"/>
      <c r="N12" s="526"/>
      <c r="P12" s="166"/>
      <c r="Q12" s="522"/>
      <c r="R12" s="166"/>
      <c r="S12" s="527"/>
      <c r="T12" s="530" t="s">
        <v>405</v>
      </c>
      <c r="U12" s="529"/>
      <c r="V12" s="529"/>
      <c r="W12" s="529"/>
      <c r="X12" s="529"/>
      <c r="Y12" s="529"/>
      <c r="Z12" s="529"/>
      <c r="AA12" s="529"/>
      <c r="AB12" s="529"/>
      <c r="AC12" s="529"/>
      <c r="AD12" s="529"/>
      <c r="AE12" s="529"/>
      <c r="AF12" s="529"/>
      <c r="AG12" s="529"/>
      <c r="AH12" s="529"/>
      <c r="AI12" s="529"/>
      <c r="AJ12" s="529"/>
      <c r="AK12" s="529"/>
      <c r="AM12" s="128"/>
      <c r="AN12" s="128" t="str">
        <f t="shared" si="39"/>
        <v xml:space="preserve">Добавить централизованную систему для дифференциации</v>
      </c>
      <c r="AO12" s="128"/>
      <c r="AP12" s="128"/>
    </row>
    <row r="13" s="57" customFormat="1" ht="14.25" hidden="1" customHeight="1">
      <c r="A13" s="132"/>
      <c r="B13" s="132"/>
      <c r="C13" s="132"/>
      <c r="D13" s="132"/>
      <c r="E13" s="479"/>
      <c r="F13" s="132"/>
      <c r="G13" s="132"/>
      <c r="H13" s="132"/>
      <c r="I13" s="132"/>
      <c r="J13" s="132"/>
      <c r="K13" s="132"/>
      <c r="L13" s="213"/>
      <c r="M13" s="526"/>
      <c r="N13" s="526"/>
      <c r="O13" s="57"/>
      <c r="P13" s="166"/>
      <c r="Q13" s="522"/>
      <c r="R13" s="166"/>
      <c r="S13" s="527"/>
      <c r="T13" s="530" t="s">
        <v>406</v>
      </c>
      <c r="U13" s="529"/>
      <c r="V13" s="529"/>
      <c r="W13" s="529"/>
      <c r="X13" s="529"/>
      <c r="Y13" s="529"/>
      <c r="Z13" s="529"/>
      <c r="AA13" s="529"/>
      <c r="AB13" s="529"/>
      <c r="AC13" s="529"/>
      <c r="AD13" s="529"/>
      <c r="AE13" s="529"/>
      <c r="AF13" s="529"/>
      <c r="AG13" s="529"/>
      <c r="AH13" s="529"/>
      <c r="AI13" s="529"/>
      <c r="AJ13" s="529"/>
      <c r="AK13" s="529"/>
      <c r="AM13" s="128"/>
      <c r="AN13" s="128" t="str">
        <f t="shared" si="39"/>
        <v xml:space="preserve">Добавить территорию для дифференциации</v>
      </c>
      <c r="AO13" s="128"/>
      <c r="AP13" s="128"/>
    </row>
    <row r="14" ht="14.25" hidden="1" customHeight="1">
      <c r="AB14" s="50"/>
      <c r="AI14" s="50"/>
    </row>
    <row r="15" ht="14.25" hidden="1" customHeight="1">
      <c r="AC15" s="531"/>
      <c r="AD15" s="531"/>
      <c r="AE15" s="532"/>
      <c r="AF15" s="533"/>
      <c r="AG15" s="534" t="s">
        <v>56</v>
      </c>
      <c r="AH15" s="533"/>
      <c r="AI15" s="534" t="s">
        <v>56</v>
      </c>
    </row>
    <row r="16" ht="14.25" hidden="1" customHeight="1">
      <c r="AC16" s="531"/>
      <c r="AD16" s="531"/>
      <c r="AE16" s="510" t="str">
        <f>AF15&amp;"-"&amp;AH15</f>
        <v>-</v>
      </c>
      <c r="AF16" s="534"/>
      <c r="AG16" s="534"/>
      <c r="AH16" s="534"/>
      <c r="AI16" s="534"/>
    </row>
    <row r="17" ht="14.25" hidden="1" customHeight="1">
      <c r="AI17" s="50"/>
    </row>
    <row r="18" s="53" customFormat="1" ht="22.5" hidden="1" customHeight="1">
      <c r="L18" s="113"/>
      <c r="M18" s="61"/>
      <c r="N18" s="61"/>
      <c r="O18" s="535" t="s">
        <v>407</v>
      </c>
      <c r="P18" s="61"/>
      <c r="Q18" s="536"/>
      <c r="R18" s="536"/>
      <c r="S18" s="481"/>
      <c r="Y18" s="535"/>
      <c r="AA18" s="535"/>
      <c r="AB18" s="53"/>
      <c r="AF18" s="535"/>
      <c r="AH18" s="535"/>
      <c r="AI18" s="53"/>
      <c r="AL18" s="57"/>
      <c r="AM18" s="57"/>
      <c r="AN18" s="57"/>
      <c r="AO18" s="57"/>
      <c r="AP18" s="57"/>
    </row>
    <row r="19" s="53" customFormat="1" ht="14.25" hidden="1" customHeight="1">
      <c r="L19" s="113"/>
      <c r="M19" s="61"/>
      <c r="N19" s="61"/>
      <c r="O19" s="61"/>
      <c r="P19" s="61"/>
      <c r="Q19" s="536"/>
      <c r="R19" s="536"/>
      <c r="S19" s="481"/>
      <c r="AB19" s="53"/>
      <c r="AI19" s="53"/>
      <c r="AL19" s="57"/>
      <c r="AM19" s="57"/>
      <c r="AN19" s="57"/>
      <c r="AO19" s="57"/>
      <c r="AP19" s="57"/>
    </row>
    <row r="20" s="53" customFormat="1" ht="12" hidden="1" customHeight="1">
      <c r="L20" s="113"/>
      <c r="M20" s="61"/>
      <c r="N20" s="61"/>
      <c r="O20" s="480" t="s">
        <v>408</v>
      </c>
      <c r="P20" s="61"/>
      <c r="Q20" s="670"/>
      <c r="R20" s="670"/>
      <c r="S20" s="481"/>
      <c r="T20" s="53" t="s">
        <v>409</v>
      </c>
      <c r="Z20" s="150" t="s">
        <v>410</v>
      </c>
      <c r="AB20" s="150" t="s">
        <v>411</v>
      </c>
      <c r="AC20" s="53" t="s">
        <v>409</v>
      </c>
      <c r="AG20" s="150" t="s">
        <v>412</v>
      </c>
      <c r="AI20" s="150" t="s">
        <v>411</v>
      </c>
    </row>
    <row r="21" ht="14.25" hidden="1" customHeight="1">
      <c r="O21" s="480"/>
    </row>
    <row r="22" ht="14.25" hidden="1" customHeight="1">
      <c r="O22" s="480"/>
    </row>
    <row r="23" ht="14.25" customHeight="1">
      <c r="Q23" s="537"/>
      <c r="R23" s="537"/>
      <c r="S23" s="538"/>
      <c r="T23" s="89"/>
      <c r="U23" s="89"/>
      <c r="V23" s="50"/>
      <c r="W23" s="50"/>
      <c r="X23" s="50"/>
      <c r="Y23" s="50"/>
      <c r="Z23" s="50"/>
      <c r="AA23" s="50"/>
      <c r="AB23" s="50"/>
      <c r="AC23" s="50"/>
      <c r="AD23" s="50"/>
      <c r="AE23" s="50"/>
      <c r="AF23" s="50"/>
      <c r="AG23" s="50"/>
      <c r="AH23" s="50"/>
      <c r="AI23" s="50"/>
    </row>
    <row r="24" ht="26.25" customHeight="1">
      <c r="Q24" s="537"/>
      <c r="R24" s="537"/>
      <c r="S24" s="451"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51"/>
      <c r="U24" s="451"/>
      <c r="V24" s="451"/>
      <c r="W24" s="451"/>
      <c r="X24" s="451"/>
      <c r="Y24" s="451"/>
      <c r="Z24" s="451"/>
      <c r="AA24" s="451"/>
      <c r="AB24" s="451"/>
      <c r="AC24" s="451"/>
      <c r="AD24" s="451"/>
      <c r="AE24" s="451"/>
      <c r="AF24" s="451"/>
      <c r="AG24" s="451"/>
      <c r="AH24" s="451"/>
      <c r="AI24" s="241"/>
    </row>
    <row r="25" ht="14.25" customHeight="1">
      <c r="Q25" s="537"/>
      <c r="R25" s="537"/>
      <c r="S25" s="302" t="str">
        <f>IF(org=0,"Не определено",org)</f>
        <v xml:space="preserve">филиал ПАО "ОГК-2" - Адлерская ТЭС</v>
      </c>
      <c r="T25" s="302"/>
      <c r="U25" s="302"/>
      <c r="V25" s="302"/>
      <c r="W25" s="302"/>
      <c r="X25" s="302"/>
      <c r="Y25" s="302"/>
      <c r="Z25" s="302"/>
      <c r="AA25" s="302"/>
      <c r="AB25" s="302"/>
      <c r="AC25" s="302"/>
      <c r="AD25" s="302"/>
      <c r="AE25" s="302"/>
      <c r="AF25" s="302"/>
      <c r="AG25" s="302"/>
      <c r="AH25" s="302"/>
      <c r="AI25" s="241"/>
    </row>
    <row r="26" ht="14.25" customHeight="1">
      <c r="Q26" s="537"/>
      <c r="R26" s="537"/>
      <c r="S26" s="538"/>
      <c r="T26" s="89"/>
      <c r="U26" s="89"/>
      <c r="V26" s="539"/>
      <c r="W26" s="539"/>
      <c r="X26" s="539"/>
      <c r="Y26" s="539"/>
      <c r="Z26" s="539"/>
      <c r="AA26" s="539"/>
      <c r="AB26" s="539"/>
      <c r="AC26" s="539"/>
      <c r="AD26" s="539"/>
      <c r="AE26" s="539"/>
      <c r="AF26" s="539"/>
      <c r="AG26" s="539"/>
      <c r="AH26" s="539"/>
      <c r="AI26" s="539"/>
      <c r="AJ26" s="50"/>
    </row>
    <row r="27" s="185" customFormat="1" ht="25.5" customHeight="1">
      <c r="A27" s="150"/>
      <c r="B27" s="150"/>
      <c r="C27" s="150"/>
      <c r="D27" s="150"/>
      <c r="E27" s="150"/>
      <c r="F27" s="150"/>
      <c r="G27" s="150"/>
      <c r="H27" s="150"/>
      <c r="I27" s="150"/>
      <c r="J27" s="150"/>
      <c r="K27" s="150"/>
      <c r="L27" s="480"/>
      <c r="M27" s="150"/>
      <c r="N27" s="150"/>
      <c r="O27" s="150"/>
      <c r="S27" s="540" t="s">
        <v>38</v>
      </c>
      <c r="T27" s="540"/>
      <c r="U27" s="541"/>
      <c r="V27" s="542" t="str">
        <f>IF(TITLE_NAME_OR_PR_CHANGE="",IF(TITLE_NAME_OR_PR="","",TITLE_NAME_OR_PR),TITLE_NAME_OR_PR_CHANGE)</f>
        <v/>
      </c>
      <c r="W27" s="542"/>
      <c r="X27" s="542"/>
      <c r="Y27" s="542"/>
      <c r="Z27" s="542"/>
      <c r="AA27" s="542"/>
      <c r="AB27" s="50"/>
      <c r="AC27" s="542" t="str">
        <f>IF(TITLE_NAME_OR_PR_CHANGE="",IF(TITLE_NAME_OR_PR="","",TITLE_NAME_OR_PR),TITLE_NAME_OR_PR_CHANGE)</f>
        <v/>
      </c>
      <c r="AD27" s="542"/>
      <c r="AE27" s="542"/>
      <c r="AF27" s="542"/>
      <c r="AG27" s="542"/>
      <c r="AH27" s="542"/>
      <c r="AI27" s="50"/>
      <c r="AJ27" s="50"/>
      <c r="AK27" s="543"/>
      <c r="AL27" s="128"/>
      <c r="AM27" s="128"/>
      <c r="AN27" s="128"/>
      <c r="AO27" s="128"/>
      <c r="AP27" s="128"/>
    </row>
    <row r="28" s="185" customFormat="1" ht="18.75" customHeight="1">
      <c r="A28" s="150"/>
      <c r="B28" s="150"/>
      <c r="C28" s="150"/>
      <c r="D28" s="150"/>
      <c r="E28" s="150"/>
      <c r="F28" s="150"/>
      <c r="G28" s="150"/>
      <c r="H28" s="150"/>
      <c r="I28" s="150"/>
      <c r="J28" s="150"/>
      <c r="K28" s="150"/>
      <c r="L28" s="480"/>
      <c r="M28" s="150"/>
      <c r="N28" s="150"/>
      <c r="O28" s="150"/>
      <c r="S28" s="540" t="s">
        <v>413</v>
      </c>
      <c r="T28" s="540"/>
      <c r="U28" s="541"/>
      <c r="V28" s="544" t="str">
        <f>IF(TITLE_DATE_PR_CHANGE="",IF(TITLE_DATE_PR="","",TITLE_DATE_PR),TITLE_DATE_PR_CHANGE)</f>
        <v/>
      </c>
      <c r="W28" s="544"/>
      <c r="X28" s="544"/>
      <c r="Y28" s="544"/>
      <c r="Z28" s="544"/>
      <c r="AA28" s="544"/>
      <c r="AB28" s="50"/>
      <c r="AC28" s="544" t="str">
        <f>IF(TITLE_DATE_PR_CHANGE="",IF(TITLE_DATE_PR="","",TITLE_DATE_PR),TITLE_DATE_PR_CHANGE)</f>
        <v/>
      </c>
      <c r="AD28" s="544"/>
      <c r="AE28" s="544"/>
      <c r="AF28" s="544"/>
      <c r="AG28" s="544"/>
      <c r="AH28" s="544"/>
      <c r="AI28" s="50"/>
      <c r="AJ28" s="50"/>
      <c r="AK28" s="543"/>
      <c r="AL28" s="128"/>
      <c r="AM28" s="128"/>
      <c r="AN28" s="128"/>
      <c r="AO28" s="128"/>
      <c r="AP28" s="128"/>
    </row>
    <row r="29" s="185" customFormat="1" ht="18.75" customHeight="1">
      <c r="A29" s="150"/>
      <c r="B29" s="150"/>
      <c r="C29" s="150"/>
      <c r="D29" s="150"/>
      <c r="E29" s="150"/>
      <c r="F29" s="150"/>
      <c r="G29" s="150"/>
      <c r="H29" s="150"/>
      <c r="I29" s="150"/>
      <c r="J29" s="150"/>
      <c r="K29" s="150"/>
      <c r="L29" s="480"/>
      <c r="M29" s="150"/>
      <c r="N29" s="150"/>
      <c r="O29" s="150"/>
      <c r="S29" s="540" t="s">
        <v>414</v>
      </c>
      <c r="T29" s="540"/>
      <c r="U29" s="541"/>
      <c r="V29" s="542" t="str">
        <f>IF(TITLE_NUMBER_PR_CHANGE="",IF(TITLE_NUMBER_PR="","",TITLE_NUMBER_PR),TITLE_NUMBER_PR_CHANGE)</f>
        <v/>
      </c>
      <c r="W29" s="542"/>
      <c r="X29" s="542"/>
      <c r="Y29" s="542"/>
      <c r="Z29" s="542"/>
      <c r="AA29" s="542"/>
      <c r="AB29" s="50"/>
      <c r="AC29" s="542" t="str">
        <f>IF(TITLE_NUMBER_PR_CHANGE="",IF(TITLE_NUMBER_PR="","",TITLE_NUMBER_PR),TITLE_NUMBER_PR_CHANGE)</f>
        <v/>
      </c>
      <c r="AD29" s="542"/>
      <c r="AE29" s="542"/>
      <c r="AF29" s="542"/>
      <c r="AG29" s="542"/>
      <c r="AH29" s="542"/>
      <c r="AI29" s="50"/>
      <c r="AJ29" s="50"/>
      <c r="AK29" s="543"/>
      <c r="AL29" s="128"/>
      <c r="AM29" s="128"/>
      <c r="AN29" s="128"/>
      <c r="AO29" s="128"/>
      <c r="AP29" s="128"/>
    </row>
    <row r="30" s="185" customFormat="1" ht="18.75" customHeight="1">
      <c r="A30" s="150"/>
      <c r="B30" s="150"/>
      <c r="C30" s="150"/>
      <c r="D30" s="150"/>
      <c r="E30" s="150"/>
      <c r="F30" s="150"/>
      <c r="G30" s="150"/>
      <c r="H30" s="150"/>
      <c r="I30" s="150"/>
      <c r="J30" s="150"/>
      <c r="K30" s="150"/>
      <c r="L30" s="480"/>
      <c r="M30" s="150"/>
      <c r="N30" s="150"/>
      <c r="O30" s="150"/>
      <c r="S30" s="540" t="s">
        <v>39</v>
      </c>
      <c r="T30" s="540"/>
      <c r="U30" s="541"/>
      <c r="V30" s="542" t="str">
        <f>IF(TITLE_IST_PUB_CHANGE="",IF(TITLE_IST_PUB="","",TITLE_IST_PUB),TITLE_IST_PUB_CHANGE)</f>
        <v/>
      </c>
      <c r="W30" s="542"/>
      <c r="X30" s="542"/>
      <c r="Y30" s="542"/>
      <c r="Z30" s="542"/>
      <c r="AA30" s="542"/>
      <c r="AB30" s="50"/>
      <c r="AC30" s="542" t="str">
        <f>IF(TITLE_IST_PUB_CHANGE="",IF(TITLE_IST_PUB="","",TITLE_IST_PUB),TITLE_IST_PUB_CHANGE)</f>
        <v/>
      </c>
      <c r="AD30" s="542"/>
      <c r="AE30" s="542"/>
      <c r="AF30" s="542"/>
      <c r="AG30" s="542"/>
      <c r="AH30" s="542"/>
      <c r="AI30" s="50"/>
      <c r="AJ30" s="50"/>
      <c r="AK30" s="543"/>
      <c r="AL30" s="128"/>
      <c r="AM30" s="128"/>
      <c r="AN30" s="128"/>
      <c r="AO30" s="128"/>
      <c r="AP30" s="128"/>
    </row>
    <row r="31" ht="14.25" customHeight="1">
      <c r="Q31" s="537"/>
      <c r="R31" s="537"/>
      <c r="S31" s="538"/>
      <c r="T31" s="89"/>
      <c r="U31" s="89"/>
      <c r="V31" s="539"/>
      <c r="W31" s="539"/>
      <c r="X31" s="539"/>
      <c r="Y31" s="539"/>
      <c r="Z31" s="539"/>
      <c r="AA31" s="539"/>
      <c r="AB31" s="539"/>
      <c r="AC31" s="539"/>
      <c r="AD31" s="539"/>
      <c r="AE31" s="539"/>
      <c r="AF31" s="539"/>
      <c r="AG31" s="539"/>
      <c r="AH31" s="539"/>
      <c r="AI31" s="539"/>
      <c r="AJ31" s="50"/>
    </row>
    <row r="32" s="185" customFormat="1" ht="18.75" customHeight="1">
      <c r="A32" s="150"/>
      <c r="B32" s="150"/>
      <c r="C32" s="150"/>
      <c r="D32" s="150"/>
      <c r="E32" s="150"/>
      <c r="F32" s="150"/>
      <c r="G32" s="150"/>
      <c r="H32" s="150"/>
      <c r="I32" s="150"/>
      <c r="J32" s="150"/>
      <c r="K32" s="150"/>
      <c r="L32" s="480"/>
      <c r="M32" s="150"/>
      <c r="N32" s="150"/>
      <c r="O32" s="150"/>
      <c r="S32" s="540" t="s">
        <v>415</v>
      </c>
      <c r="T32" s="540"/>
      <c r="U32" s="541"/>
      <c r="V32" s="544" t="str">
        <f>IF(TITLE_DATE_PR_CHANGE="",IF(TITLE_DATE_PR="","",TITLE_DATE_PR),TITLE_DATE_PR_CHANGE)</f>
        <v/>
      </c>
      <c r="W32" s="544"/>
      <c r="X32" s="544"/>
      <c r="Y32" s="544"/>
      <c r="Z32" s="544"/>
      <c r="AA32" s="544"/>
      <c r="AB32" s="50"/>
      <c r="AC32" s="544" t="str">
        <f>IF(TITLE_DATE_PR_CHANGE="",IF(TITLE_DATE_PR="","",TITLE_DATE_PR),TITLE_DATE_PR_CHANGE)</f>
        <v/>
      </c>
      <c r="AD32" s="544"/>
      <c r="AE32" s="544"/>
      <c r="AF32" s="544"/>
      <c r="AG32" s="544"/>
      <c r="AH32" s="544"/>
      <c r="AI32" s="50"/>
      <c r="AJ32" s="50"/>
      <c r="AK32" s="543"/>
      <c r="AL32" s="128"/>
      <c r="AM32" s="128"/>
      <c r="AN32" s="128"/>
      <c r="AO32" s="128"/>
      <c r="AP32" s="128"/>
    </row>
    <row r="33" s="185" customFormat="1" ht="18.75" customHeight="1">
      <c r="A33" s="150"/>
      <c r="B33" s="150"/>
      <c r="C33" s="150"/>
      <c r="D33" s="150"/>
      <c r="E33" s="150"/>
      <c r="F33" s="150"/>
      <c r="G33" s="150"/>
      <c r="H33" s="150"/>
      <c r="I33" s="150"/>
      <c r="J33" s="150"/>
      <c r="K33" s="150"/>
      <c r="L33" s="480"/>
      <c r="M33" s="150"/>
      <c r="N33" s="150"/>
      <c r="O33" s="150"/>
      <c r="S33" s="540" t="s">
        <v>416</v>
      </c>
      <c r="T33" s="540"/>
      <c r="U33" s="541"/>
      <c r="V33" s="542" t="str">
        <f>IF(TITLE_NUMBER_PR_CHANGE="",IF(TITLE_NUMBER_PR="","",TITLE_NUMBER_PR),TITLE_NUMBER_PR_CHANGE)</f>
        <v/>
      </c>
      <c r="W33" s="542"/>
      <c r="X33" s="542"/>
      <c r="Y33" s="542"/>
      <c r="Z33" s="542"/>
      <c r="AA33" s="542"/>
      <c r="AB33" s="50"/>
      <c r="AC33" s="542" t="str">
        <f>IF(TITLE_NUMBER_PR_CHANGE="",IF(TITLE_NUMBER_PR="","",TITLE_NUMBER_PR),TITLE_NUMBER_PR_CHANGE)</f>
        <v/>
      </c>
      <c r="AD33" s="542"/>
      <c r="AE33" s="542"/>
      <c r="AF33" s="542"/>
      <c r="AG33" s="542"/>
      <c r="AH33" s="542"/>
      <c r="AI33" s="50"/>
      <c r="AJ33" s="50"/>
      <c r="AK33" s="543"/>
      <c r="AL33" s="128"/>
      <c r="AM33" s="128"/>
      <c r="AN33" s="128"/>
      <c r="AO33" s="128"/>
      <c r="AP33" s="128"/>
    </row>
    <row r="34" s="185" customFormat="1" ht="0.75" customHeight="1">
      <c r="A34" s="150"/>
      <c r="B34" s="150"/>
      <c r="C34" s="150"/>
      <c r="D34" s="150"/>
      <c r="E34" s="150"/>
      <c r="F34" s="150"/>
      <c r="G34" s="150"/>
      <c r="H34" s="150"/>
      <c r="I34" s="150"/>
      <c r="J34" s="150"/>
      <c r="K34" s="150"/>
      <c r="L34" s="480"/>
      <c r="M34" s="150"/>
      <c r="N34" s="150"/>
      <c r="O34" s="150"/>
      <c r="S34" s="50"/>
      <c r="T34" s="50"/>
      <c r="U34" s="139"/>
      <c r="V34" s="50"/>
      <c r="W34" s="50"/>
      <c r="X34" s="50"/>
      <c r="Y34" s="50"/>
      <c r="Z34" s="50"/>
      <c r="AA34" s="50"/>
      <c r="AB34" s="57" t="s">
        <v>417</v>
      </c>
      <c r="AC34" s="50"/>
      <c r="AD34" s="50"/>
      <c r="AE34" s="50"/>
      <c r="AF34" s="50"/>
      <c r="AG34" s="50"/>
      <c r="AH34" s="50"/>
      <c r="AI34" s="57" t="s">
        <v>417</v>
      </c>
      <c r="AL34" s="128"/>
      <c r="AM34" s="128"/>
      <c r="AN34" s="128"/>
      <c r="AO34" s="128"/>
      <c r="AP34" s="128"/>
    </row>
    <row r="35" ht="14.25" customHeight="1">
      <c r="Q35" s="537"/>
      <c r="R35" s="537"/>
      <c r="S35" s="538"/>
      <c r="T35" s="89"/>
      <c r="U35" s="545"/>
      <c r="V35" s="546"/>
      <c r="W35" s="546"/>
      <c r="X35" s="546"/>
      <c r="Y35" s="546"/>
      <c r="Z35" s="546"/>
      <c r="AA35" s="546"/>
      <c r="AB35" s="546"/>
      <c r="AC35" s="546"/>
      <c r="AD35" s="546"/>
      <c r="AE35" s="546"/>
      <c r="AF35" s="546"/>
      <c r="AG35" s="546"/>
      <c r="AH35" s="546"/>
      <c r="AI35" s="546"/>
    </row>
    <row r="36" ht="14.25" customHeight="1">
      <c r="Q36" s="537"/>
      <c r="R36" s="537"/>
      <c r="S36" s="156" t="s">
        <v>288</v>
      </c>
      <c r="T36" s="156"/>
      <c r="U36" s="156"/>
      <c r="V36" s="156"/>
      <c r="W36" s="156"/>
      <c r="X36" s="156"/>
      <c r="Y36" s="156"/>
      <c r="Z36" s="156"/>
      <c r="AA36" s="156"/>
      <c r="AB36" s="156"/>
      <c r="AC36" s="156"/>
      <c r="AD36" s="156"/>
      <c r="AE36" s="156"/>
      <c r="AF36" s="156"/>
      <c r="AG36" s="156"/>
      <c r="AH36" s="156"/>
      <c r="AI36" s="156"/>
      <c r="AJ36" s="156"/>
      <c r="AK36" s="156" t="s">
        <v>289</v>
      </c>
    </row>
    <row r="37" ht="14.25" customHeight="1">
      <c r="Q37" s="537"/>
      <c r="R37" s="537"/>
      <c r="S37" s="483" t="s">
        <v>85</v>
      </c>
      <c r="T37" s="347" t="s">
        <v>418</v>
      </c>
      <c r="U37" s="547"/>
      <c r="V37" s="548" t="s">
        <v>419</v>
      </c>
      <c r="W37" s="549"/>
      <c r="X37" s="549"/>
      <c r="Y37" s="549"/>
      <c r="Z37" s="549"/>
      <c r="AA37" s="550"/>
      <c r="AB37" s="551" t="s">
        <v>420</v>
      </c>
      <c r="AC37" s="548" t="s">
        <v>419</v>
      </c>
      <c r="AD37" s="549"/>
      <c r="AE37" s="549"/>
      <c r="AF37" s="549"/>
      <c r="AG37" s="549"/>
      <c r="AH37" s="550"/>
      <c r="AI37" s="551" t="s">
        <v>421</v>
      </c>
      <c r="AJ37" s="552" t="s">
        <v>422</v>
      </c>
      <c r="AK37" s="156"/>
    </row>
    <row r="38" ht="33.75" customHeight="1">
      <c r="Q38" s="537"/>
      <c r="R38" s="537"/>
      <c r="S38" s="483"/>
      <c r="T38" s="347"/>
      <c r="U38" s="553"/>
      <c r="V38" s="306" t="s">
        <v>520</v>
      </c>
      <c r="W38" s="73" t="s">
        <v>521</v>
      </c>
      <c r="X38" s="72"/>
      <c r="Y38" s="73" t="s">
        <v>426</v>
      </c>
      <c r="Z38" s="144"/>
      <c r="AA38" s="72"/>
      <c r="AB38" s="555"/>
      <c r="AC38" s="306" t="s">
        <v>520</v>
      </c>
      <c r="AD38" s="73" t="s">
        <v>521</v>
      </c>
      <c r="AE38" s="72"/>
      <c r="AF38" s="73" t="s">
        <v>426</v>
      </c>
      <c r="AG38" s="144"/>
      <c r="AH38" s="72"/>
      <c r="AI38" s="555"/>
      <c r="AJ38" s="556"/>
      <c r="AK38" s="156"/>
    </row>
    <row r="39" ht="86.25" customHeight="1">
      <c r="A39" s="150"/>
      <c r="B39" s="150" t="s">
        <v>137</v>
      </c>
      <c r="C39" s="150" t="s">
        <v>138</v>
      </c>
      <c r="D39" s="150" t="s">
        <v>139</v>
      </c>
      <c r="E39" s="480" t="s">
        <v>427</v>
      </c>
      <c r="F39" s="480" t="s">
        <v>428</v>
      </c>
      <c r="G39" s="480" t="s">
        <v>429</v>
      </c>
      <c r="H39" s="480"/>
      <c r="I39" s="480" t="s">
        <v>480</v>
      </c>
      <c r="J39" s="480" t="s">
        <v>432</v>
      </c>
      <c r="K39" s="480" t="s">
        <v>481</v>
      </c>
      <c r="L39" s="480" t="s">
        <v>408</v>
      </c>
      <c r="Q39" s="537"/>
      <c r="R39" s="537"/>
      <c r="S39" s="483"/>
      <c r="T39" s="347"/>
      <c r="U39" s="557"/>
      <c r="V39" s="306" t="s">
        <v>522</v>
      </c>
      <c r="W39" s="247" t="s">
        <v>523</v>
      </c>
      <c r="X39" s="247" t="s">
        <v>524</v>
      </c>
      <c r="Y39" s="247" t="s">
        <v>436</v>
      </c>
      <c r="Z39" s="414" t="s">
        <v>437</v>
      </c>
      <c r="AA39" s="416"/>
      <c r="AB39" s="559"/>
      <c r="AC39" s="306" t="s">
        <v>522</v>
      </c>
      <c r="AD39" s="247" t="s">
        <v>523</v>
      </c>
      <c r="AE39" s="247" t="s">
        <v>524</v>
      </c>
      <c r="AF39" s="247" t="s">
        <v>436</v>
      </c>
      <c r="AG39" s="414" t="s">
        <v>437</v>
      </c>
      <c r="AH39" s="416"/>
      <c r="AI39" s="559"/>
      <c r="AJ39" s="560"/>
      <c r="AK39" s="156"/>
    </row>
    <row r="40" s="130" customFormat="1" ht="11.25" hidden="1" customHeight="1">
      <c r="A40" s="150"/>
      <c r="B40" s="150"/>
      <c r="C40" s="150"/>
      <c r="D40" s="150"/>
      <c r="E40" s="150"/>
      <c r="F40" s="150"/>
      <c r="G40" s="150"/>
      <c r="H40" s="150"/>
      <c r="I40" s="150"/>
      <c r="J40" s="150"/>
      <c r="K40" s="150"/>
      <c r="L40" s="480"/>
      <c r="M40" s="61"/>
      <c r="N40" s="61"/>
      <c r="O40" s="61"/>
      <c r="P40" s="561"/>
      <c r="Q40" s="562"/>
      <c r="R40" s="563">
        <v>1</v>
      </c>
      <c r="S40" s="564" t="s">
        <v>111</v>
      </c>
      <c r="T40" s="565" t="s">
        <v>99</v>
      </c>
      <c r="U40" s="566" t="str">
        <f ca="1">OFFSET(U40,0,-1)</f>
        <v>2</v>
      </c>
      <c r="V40" s="567">
        <f ca="1">OFFSET(V40,0,-1)+1</f>
        <v>3</v>
      </c>
      <c r="W40" s="567">
        <f ca="1">OFFSET(W40,0,-1)+1</f>
        <v>4</v>
      </c>
      <c r="X40" s="567">
        <f ca="1">OFFSET(X40,0,-1)+1</f>
        <v>5</v>
      </c>
      <c r="Y40" s="567">
        <f ca="1">OFFSET(Y40,0,-1)+1</f>
        <v>6</v>
      </c>
      <c r="Z40" s="567">
        <f ca="1">OFFSET(Z40,0,-1)+1</f>
        <v>7</v>
      </c>
      <c r="AA40" s="567"/>
      <c r="AB40" s="567">
        <f ca="1">OFFSET(AB40,0,-2)+1</f>
        <v>8</v>
      </c>
      <c r="AC40" s="567">
        <f ca="1">OFFSET(AC40,0,-1)+1</f>
        <v>9</v>
      </c>
      <c r="AD40" s="567">
        <f ca="1">OFFSET(AD40,0,-1)+1</f>
        <v>10</v>
      </c>
      <c r="AE40" s="567">
        <f ca="1">OFFSET(AE40,0,-1)+1</f>
        <v>11</v>
      </c>
      <c r="AF40" s="567">
        <f ca="1">OFFSET(AF40,0,-1)+1</f>
        <v>12</v>
      </c>
      <c r="AG40" s="567">
        <f ca="1">OFFSET(AG40,0,-1)+1</f>
        <v>13</v>
      </c>
      <c r="AH40" s="567"/>
      <c r="AI40" s="567">
        <f ca="1">OFFSET(AI40,0,-2)+1</f>
        <v>14</v>
      </c>
      <c r="AJ40" s="566">
        <f ca="1">OFFSET(AJ40,0,-1)</f>
        <v>14</v>
      </c>
      <c r="AK40" s="567">
        <f ca="1">OFFSET(AK40,0,-1)+1</f>
        <v>15</v>
      </c>
      <c r="AL40" s="57"/>
      <c r="AM40" s="57"/>
      <c r="AN40" s="57"/>
      <c r="AO40" s="57"/>
      <c r="AP40" s="57"/>
    </row>
    <row r="41" ht="23.25" customHeight="1">
      <c r="A41" s="478" t="s">
        <v>239</v>
      </c>
      <c r="B41" s="478"/>
      <c r="C41" s="478"/>
      <c r="D41" s="478"/>
      <c r="E41" s="479">
        <v>1</v>
      </c>
      <c r="F41" s="478"/>
      <c r="G41" s="478"/>
      <c r="H41" s="478"/>
      <c r="I41" s="478"/>
      <c r="J41" s="478"/>
      <c r="K41" s="478"/>
      <c r="L41" s="480"/>
      <c r="M41" s="481"/>
      <c r="N41" s="481"/>
      <c r="O41" s="481"/>
      <c r="P41" s="60"/>
      <c r="Q41" s="142"/>
      <c r="R41" s="482"/>
      <c r="S41" s="483">
        <f>INDEX(PT_DIFFERENTIATION_NUM_NTAR,MATCH(A41,PT_DIFFERENTIATION_NTAR_ID,0))</f>
        <v>0</v>
      </c>
      <c r="T41" s="484" t="s">
        <v>125</v>
      </c>
      <c r="U41" s="485"/>
      <c r="V41" s="486"/>
      <c r="W41" s="487"/>
      <c r="X41" s="487"/>
      <c r="Y41" s="487"/>
      <c r="Z41" s="487"/>
      <c r="AA41" s="487"/>
      <c r="AB41" s="488"/>
      <c r="AC41" s="486" t="str">
        <f>INDEX(PT_DIFFERENTIATION_NTAR,MATCH(A41,PT_DIFFERENTIATION_NTAR_ID,0))</f>
        <v/>
      </c>
      <c r="AD41" s="487"/>
      <c r="AE41" s="487"/>
      <c r="AF41" s="487"/>
      <c r="AG41" s="487"/>
      <c r="AH41" s="487"/>
      <c r="AI41" s="487"/>
      <c r="AJ41" s="488"/>
      <c r="AK41"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8"/>
      <c r="AN41" s="128" t="str">
        <f t="shared" si="39"/>
        <v xml:space="preserve">Наименование тарифа</v>
      </c>
      <c r="AO41" s="128"/>
      <c r="AP41" s="128"/>
    </row>
    <row r="42" ht="23.25" customHeight="1">
      <c r="A42" s="478" t="s">
        <v>239</v>
      </c>
      <c r="B42" s="478" t="s">
        <v>240</v>
      </c>
      <c r="C42" s="478"/>
      <c r="D42" s="478"/>
      <c r="E42" s="490"/>
      <c r="F42" s="479">
        <v>1</v>
      </c>
      <c r="G42" s="478"/>
      <c r="H42" s="478"/>
      <c r="I42" s="478"/>
      <c r="J42" s="478"/>
      <c r="K42" s="478"/>
      <c r="L42" s="480"/>
      <c r="M42" s="481"/>
      <c r="N42" s="481"/>
      <c r="O42" s="481"/>
      <c r="P42" s="51"/>
      <c r="Q42" s="491"/>
      <c r="R42" s="492"/>
      <c r="S42" s="483" t="str">
        <f>INDEX(PT_DIFFERENTIATION_NUM_TER,MATCH(B42,PT_DIFFERENTIATION_TER_ID,0))</f>
        <v>.</v>
      </c>
      <c r="T42" s="493" t="s">
        <v>387</v>
      </c>
      <c r="U42" s="485"/>
      <c r="V42" s="486"/>
      <c r="W42" s="487"/>
      <c r="X42" s="487"/>
      <c r="Y42" s="487"/>
      <c r="Z42" s="487"/>
      <c r="AA42" s="487"/>
      <c r="AB42" s="488"/>
      <c r="AC42" s="486" t="str">
        <f>INDEX(PT_DIFFERENTIATION_TER,MATCH(B42,PT_DIFFERENTIATION_TER_ID,0))</f>
        <v/>
      </c>
      <c r="AD42" s="487"/>
      <c r="AE42" s="487"/>
      <c r="AF42" s="487"/>
      <c r="AG42" s="487"/>
      <c r="AH42" s="487"/>
      <c r="AI42" s="487"/>
      <c r="AJ42" s="488"/>
      <c r="AK42" s="489" t="s">
        <v>388</v>
      </c>
      <c r="AM42" s="128"/>
      <c r="AN42" s="128" t="str">
        <f t="shared" si="39"/>
        <v xml:space="preserve">Территория действия тарифа</v>
      </c>
      <c r="AO42" s="128"/>
      <c r="AP42" s="128"/>
    </row>
    <row r="43" ht="23.25" customHeight="1">
      <c r="A43" s="478" t="s">
        <v>239</v>
      </c>
      <c r="B43" s="478" t="s">
        <v>240</v>
      </c>
      <c r="C43" s="478" t="s">
        <v>241</v>
      </c>
      <c r="D43" s="478"/>
      <c r="E43" s="490"/>
      <c r="F43" s="490"/>
      <c r="G43" s="479">
        <v>1</v>
      </c>
      <c r="H43" s="478"/>
      <c r="I43" s="478"/>
      <c r="J43" s="478"/>
      <c r="K43" s="478"/>
      <c r="L43" s="480"/>
      <c r="M43" s="481"/>
      <c r="N43" s="481"/>
      <c r="O43" s="481"/>
      <c r="P43" s="494"/>
      <c r="Q43" s="491"/>
      <c r="R43" s="492"/>
      <c r="S43" s="483" t="str">
        <f>INDEX(PT_DIFFERENTIATION_NUM_CS,MATCH(C43,PT_DIFFERENTIATION_CS_ID,0))</f>
        <v>..</v>
      </c>
      <c r="T43" s="495" t="s">
        <v>518</v>
      </c>
      <c r="U43" s="485"/>
      <c r="V43" s="486"/>
      <c r="W43" s="487"/>
      <c r="X43" s="487"/>
      <c r="Y43" s="487"/>
      <c r="Z43" s="487"/>
      <c r="AA43" s="487"/>
      <c r="AB43" s="488"/>
      <c r="AC43" s="486" t="str">
        <f>INDEX(PT_DIFFERENTIATION_CS,MATCH(C43,PT_DIFFERENTIATION_CS_ID,0))</f>
        <v/>
      </c>
      <c r="AD43" s="487"/>
      <c r="AE43" s="487"/>
      <c r="AF43" s="487"/>
      <c r="AG43" s="487"/>
      <c r="AH43" s="487"/>
      <c r="AI43" s="487"/>
      <c r="AJ43" s="488"/>
      <c r="AK43" s="489" t="s">
        <v>519</v>
      </c>
      <c r="AM43" s="128"/>
      <c r="AN43" s="128" t="str">
        <f t="shared" si="39"/>
        <v xml:space="preserve">Наименование централизованной системы горячего водоснабжения</v>
      </c>
      <c r="AO43" s="128"/>
      <c r="AP43" s="128"/>
    </row>
    <row r="44" ht="23.25" customHeight="1">
      <c r="A44" s="478" t="s">
        <v>239</v>
      </c>
      <c r="B44" s="478" t="s">
        <v>240</v>
      </c>
      <c r="C44" s="478" t="s">
        <v>241</v>
      </c>
      <c r="D44" s="478" t="s">
        <v>525</v>
      </c>
      <c r="E44" s="490"/>
      <c r="F44" s="490"/>
      <c r="G44" s="490"/>
      <c r="H44" s="490"/>
      <c r="I44" s="167" t="str">
        <f>S43&amp;".1"</f>
        <v>...1</v>
      </c>
      <c r="J44" s="478"/>
      <c r="K44" s="478"/>
      <c r="L44" s="480"/>
      <c r="P44" s="131">
        <v>1</v>
      </c>
      <c r="Q44" s="131"/>
      <c r="R44" s="497"/>
      <c r="S44" s="483" t="str">
        <f>$I44</f>
        <v>...1</v>
      </c>
      <c r="T44" s="498" t="s">
        <v>473</v>
      </c>
      <c r="U44" s="485"/>
      <c r="V44" s="658"/>
      <c r="W44" s="659"/>
      <c r="X44" s="659"/>
      <c r="Y44" s="659"/>
      <c r="Z44" s="659"/>
      <c r="AA44" s="659"/>
      <c r="AB44" s="660"/>
      <c r="AC44" s="661"/>
      <c r="AD44" s="662"/>
      <c r="AE44" s="662"/>
      <c r="AF44" s="662"/>
      <c r="AG44" s="662"/>
      <c r="AH44" s="662"/>
      <c r="AI44" s="662"/>
      <c r="AJ44" s="663"/>
      <c r="AK44" s="489" t="s">
        <v>474</v>
      </c>
      <c r="AM44" s="128"/>
      <c r="AN44" s="128" t="str">
        <f t="shared" si="39"/>
        <v xml:space="preserve">Наименование признака дифференциации</v>
      </c>
      <c r="AO44" s="128"/>
      <c r="AP44" s="128"/>
    </row>
    <row r="45" ht="23.25" customHeight="1">
      <c r="A45" s="478" t="s">
        <v>239</v>
      </c>
      <c r="B45" s="478" t="s">
        <v>240</v>
      </c>
      <c r="C45" s="478" t="s">
        <v>241</v>
      </c>
      <c r="D45" s="478" t="s">
        <v>525</v>
      </c>
      <c r="E45" s="490"/>
      <c r="F45" s="490"/>
      <c r="G45" s="490"/>
      <c r="H45" s="490"/>
      <c r="I45" s="501"/>
      <c r="J45" s="167" t="str">
        <f>I44&amp;".1"</f>
        <v>...1.1</v>
      </c>
      <c r="K45" s="478"/>
      <c r="L45" s="480" t="s">
        <v>396</v>
      </c>
      <c r="P45" s="131"/>
      <c r="Q45" s="131">
        <v>1</v>
      </c>
      <c r="R45" s="502"/>
      <c r="S45" s="483" t="str">
        <f>$J45</f>
        <v>...1.1</v>
      </c>
      <c r="T45" s="503" t="s">
        <v>397</v>
      </c>
      <c r="U45" s="485"/>
      <c r="V45" s="430"/>
      <c r="W45" s="499"/>
      <c r="X45" s="499"/>
      <c r="Y45" s="499"/>
      <c r="Z45" s="499"/>
      <c r="AA45" s="499"/>
      <c r="AB45" s="500"/>
      <c r="AC45" s="430"/>
      <c r="AD45" s="499"/>
      <c r="AE45" s="499"/>
      <c r="AF45" s="499"/>
      <c r="AG45" s="499"/>
      <c r="AH45" s="499"/>
      <c r="AI45" s="499"/>
      <c r="AJ45" s="500"/>
      <c r="AK45" s="593" t="s">
        <v>475</v>
      </c>
      <c r="AM45" s="128"/>
      <c r="AN45" s="128" t="str">
        <f t="shared" si="39"/>
        <v xml:space="preserve">Группа потребителей</v>
      </c>
      <c r="AO45" s="128"/>
      <c r="AP45" s="128"/>
    </row>
    <row r="46" ht="23.25" customHeight="1">
      <c r="A46" s="478" t="s">
        <v>239</v>
      </c>
      <c r="B46" s="478" t="s">
        <v>240</v>
      </c>
      <c r="C46" s="478" t="s">
        <v>241</v>
      </c>
      <c r="D46" s="478" t="s">
        <v>525</v>
      </c>
      <c r="E46" s="490"/>
      <c r="F46" s="490"/>
      <c r="G46" s="490"/>
      <c r="H46" s="490"/>
      <c r="I46" s="501"/>
      <c r="J46" s="501"/>
      <c r="K46" s="167" t="str">
        <f>J45&amp;".1"</f>
        <v>...1.1.1</v>
      </c>
      <c r="L46" s="480"/>
      <c r="P46" s="131"/>
      <c r="Q46" s="131"/>
      <c r="R46" s="502">
        <v>1</v>
      </c>
      <c r="S46" s="483" t="str">
        <f>$K46</f>
        <v>...1.1.1</v>
      </c>
      <c r="T46" s="664"/>
      <c r="U46" s="485"/>
      <c r="V46" s="531"/>
      <c r="W46" s="531"/>
      <c r="X46" s="532"/>
      <c r="Y46" s="533"/>
      <c r="Z46" s="534" t="s">
        <v>56</v>
      </c>
      <c r="AA46" s="533"/>
      <c r="AB46" s="534" t="s">
        <v>56</v>
      </c>
      <c r="AC46" s="505"/>
      <c r="AD46" s="505"/>
      <c r="AE46" s="507"/>
      <c r="AF46" s="508"/>
      <c r="AG46" s="225" t="s">
        <v>56</v>
      </c>
      <c r="AH46" s="568"/>
      <c r="AI46" s="225" t="s">
        <v>54</v>
      </c>
      <c r="AJ46" s="665"/>
      <c r="AK46" s="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8"/>
      <c r="AN46" s="128" t="str">
        <f t="shared" si="39"/>
        <v/>
      </c>
      <c r="AO46" s="128"/>
      <c r="AP46" s="128"/>
    </row>
    <row r="47" ht="0" customHeight="1">
      <c r="A47" s="478" t="s">
        <v>239</v>
      </c>
      <c r="B47" s="478" t="s">
        <v>240</v>
      </c>
      <c r="C47" s="478" t="s">
        <v>241</v>
      </c>
      <c r="D47" s="478" t="s">
        <v>525</v>
      </c>
      <c r="E47" s="490"/>
      <c r="F47" s="490"/>
      <c r="G47" s="490"/>
      <c r="H47" s="490"/>
      <c r="I47" s="501"/>
      <c r="J47" s="501"/>
      <c r="K47" s="167"/>
      <c r="L47" s="480"/>
      <c r="P47" s="131"/>
      <c r="Q47" s="131"/>
      <c r="R47" s="502"/>
      <c r="S47" s="457"/>
      <c r="T47" s="485"/>
      <c r="U47" s="485"/>
      <c r="V47" s="531"/>
      <c r="W47" s="531"/>
      <c r="X47" s="510" t="str">
        <f>Y46&amp;"-"&amp;AA46</f>
        <v>-</v>
      </c>
      <c r="Y47" s="534"/>
      <c r="Z47" s="534"/>
      <c r="AA47" s="534"/>
      <c r="AB47" s="534"/>
      <c r="AC47" s="506"/>
      <c r="AD47" s="506"/>
      <c r="AE47" s="510" t="str">
        <f>AF46&amp;"-"&amp;AH46</f>
        <v>-</v>
      </c>
      <c r="AF47" s="511"/>
      <c r="AG47" s="225"/>
      <c r="AH47" s="570"/>
      <c r="AI47" s="225"/>
      <c r="AJ47" s="667"/>
      <c r="AK47" s="666"/>
      <c r="AM47" s="128"/>
      <c r="AN47" s="128" t="str">
        <f t="shared" si="39"/>
        <v/>
      </c>
      <c r="AO47" s="128"/>
      <c r="AP47" s="128"/>
    </row>
    <row r="48" ht="21" customHeight="1">
      <c r="A48" s="478" t="s">
        <v>239</v>
      </c>
      <c r="B48" s="478" t="s">
        <v>240</v>
      </c>
      <c r="C48" s="478" t="s">
        <v>241</v>
      </c>
      <c r="D48" s="478" t="s">
        <v>525</v>
      </c>
      <c r="E48" s="490"/>
      <c r="F48" s="490"/>
      <c r="G48" s="490"/>
      <c r="H48" s="490"/>
      <c r="I48" s="501"/>
      <c r="J48" s="167"/>
      <c r="K48" s="478"/>
      <c r="L48" s="480"/>
      <c r="P48" s="131"/>
      <c r="Q48" s="131"/>
      <c r="R48" s="497"/>
      <c r="S48" s="513"/>
      <c r="T48" s="517" t="s">
        <v>476</v>
      </c>
      <c r="U48" s="215"/>
      <c r="V48" s="215"/>
      <c r="W48" s="215"/>
      <c r="X48" s="215"/>
      <c r="Y48" s="215"/>
      <c r="Z48" s="215"/>
      <c r="AA48" s="215"/>
      <c r="AB48" s="215"/>
      <c r="AC48" s="215"/>
      <c r="AD48" s="215"/>
      <c r="AE48" s="215"/>
      <c r="AF48" s="215"/>
      <c r="AG48" s="215"/>
      <c r="AH48" s="215"/>
      <c r="AI48" s="215"/>
      <c r="AJ48" s="215"/>
      <c r="AK48" s="489" t="s">
        <v>477</v>
      </c>
      <c r="AM48" s="128"/>
      <c r="AN48" s="128" t="str">
        <f t="shared" si="39"/>
        <v xml:space="preserve">Добавить значение признака дифференциации</v>
      </c>
      <c r="AO48" s="128"/>
      <c r="AP48" s="128"/>
    </row>
    <row r="49" ht="21" customHeight="1">
      <c r="A49" s="478" t="s">
        <v>239</v>
      </c>
      <c r="B49" s="478" t="s">
        <v>240</v>
      </c>
      <c r="C49" s="478" t="s">
        <v>241</v>
      </c>
      <c r="D49" s="478" t="s">
        <v>525</v>
      </c>
      <c r="E49" s="490"/>
      <c r="F49" s="490"/>
      <c r="G49" s="490"/>
      <c r="H49" s="490"/>
      <c r="I49" s="167"/>
      <c r="J49" s="478"/>
      <c r="K49" s="478"/>
      <c r="L49" s="480"/>
      <c r="P49" s="131"/>
      <c r="Q49" s="131"/>
      <c r="R49" s="497"/>
      <c r="S49" s="513"/>
      <c r="T49" s="521" t="s">
        <v>402</v>
      </c>
      <c r="U49" s="215"/>
      <c r="V49" s="215"/>
      <c r="W49" s="215"/>
      <c r="X49" s="215"/>
      <c r="Y49" s="215"/>
      <c r="Z49" s="215"/>
      <c r="AA49" s="215"/>
      <c r="AB49" s="518"/>
      <c r="AC49" s="215"/>
      <c r="AD49" s="215"/>
      <c r="AE49" s="215"/>
      <c r="AF49" s="215"/>
      <c r="AG49" s="215"/>
      <c r="AH49" s="215"/>
      <c r="AI49" s="518"/>
      <c r="AJ49" s="215"/>
      <c r="AK49" s="668"/>
      <c r="AM49" s="128"/>
      <c r="AN49" s="128" t="str">
        <f t="shared" si="39"/>
        <v xml:space="preserve">Добавить группу потребителей</v>
      </c>
      <c r="AO49" s="128"/>
      <c r="AP49" s="128"/>
    </row>
    <row r="50" ht="21" customHeight="1">
      <c r="A50" s="478" t="s">
        <v>239</v>
      </c>
      <c r="B50" s="478" t="s">
        <v>240</v>
      </c>
      <c r="C50" s="478" t="s">
        <v>241</v>
      </c>
      <c r="D50" s="478" t="s">
        <v>525</v>
      </c>
      <c r="E50" s="490"/>
      <c r="F50" s="490"/>
      <c r="G50" s="490"/>
      <c r="H50" s="479"/>
      <c r="I50" s="478"/>
      <c r="J50" s="478"/>
      <c r="K50" s="478"/>
      <c r="L50" s="480"/>
      <c r="M50" s="481"/>
      <c r="N50" s="481"/>
      <c r="O50" s="53"/>
      <c r="P50" s="142"/>
      <c r="Q50" s="520"/>
      <c r="R50" s="482"/>
      <c r="S50" s="513"/>
      <c r="T50" s="669" t="s">
        <v>478</v>
      </c>
      <c r="U50" s="215"/>
      <c r="V50" s="215"/>
      <c r="W50" s="215"/>
      <c r="X50" s="215"/>
      <c r="Y50" s="215"/>
      <c r="Z50" s="215"/>
      <c r="AA50" s="215"/>
      <c r="AB50" s="518"/>
      <c r="AC50" s="215"/>
      <c r="AD50" s="215"/>
      <c r="AE50" s="215"/>
      <c r="AF50" s="215"/>
      <c r="AG50" s="215"/>
      <c r="AH50" s="215"/>
      <c r="AI50" s="518"/>
      <c r="AJ50" s="215"/>
      <c r="AK50" s="519"/>
      <c r="AM50" s="128"/>
      <c r="AN50" s="128" t="str">
        <f t="shared" si="39"/>
        <v xml:space="preserve">Добавить наименование признака дифференциации</v>
      </c>
      <c r="AO50" s="128"/>
      <c r="AP50" s="128"/>
    </row>
    <row r="51" s="57" customFormat="1" ht="0" customHeight="1">
      <c r="A51" s="132" t="s">
        <v>239</v>
      </c>
      <c r="B51" s="132" t="s">
        <v>240</v>
      </c>
      <c r="C51" s="132"/>
      <c r="D51" s="132"/>
      <c r="E51" s="490"/>
      <c r="F51" s="479"/>
      <c r="G51" s="132"/>
      <c r="H51" s="132"/>
      <c r="I51" s="132"/>
      <c r="J51" s="132"/>
      <c r="K51" s="132"/>
      <c r="L51" s="213"/>
      <c r="M51" s="526"/>
      <c r="N51" s="526"/>
      <c r="P51" s="166"/>
      <c r="Q51" s="522"/>
      <c r="R51" s="166"/>
      <c r="S51" s="527"/>
      <c r="T51" s="530" t="s">
        <v>405</v>
      </c>
      <c r="U51" s="529"/>
      <c r="V51" s="529"/>
      <c r="W51" s="529"/>
      <c r="X51" s="529"/>
      <c r="Y51" s="529"/>
      <c r="Z51" s="529"/>
      <c r="AA51" s="529"/>
      <c r="AB51" s="529"/>
      <c r="AC51" s="529"/>
      <c r="AD51" s="529"/>
      <c r="AE51" s="529"/>
      <c r="AF51" s="529"/>
      <c r="AG51" s="529"/>
      <c r="AH51" s="529"/>
      <c r="AI51" s="529"/>
      <c r="AJ51" s="529"/>
      <c r="AK51" s="529"/>
      <c r="AM51" s="128"/>
      <c r="AN51" s="128" t="str">
        <f t="shared" si="39"/>
        <v xml:space="preserve">Добавить централизованную систему для дифференциации</v>
      </c>
      <c r="AO51" s="128"/>
      <c r="AP51" s="128"/>
    </row>
    <row r="52" s="57" customFormat="1" ht="0" customHeight="1">
      <c r="A52" s="132" t="s">
        <v>239</v>
      </c>
      <c r="B52" s="132"/>
      <c r="C52" s="132"/>
      <c r="D52" s="132"/>
      <c r="E52" s="479"/>
      <c r="F52" s="132"/>
      <c r="G52" s="132"/>
      <c r="H52" s="132"/>
      <c r="I52" s="132"/>
      <c r="J52" s="132"/>
      <c r="K52" s="132"/>
      <c r="L52" s="213"/>
      <c r="M52" s="526"/>
      <c r="N52" s="526"/>
      <c r="O52" s="57"/>
      <c r="P52" s="166"/>
      <c r="Q52" s="522"/>
      <c r="R52" s="166"/>
      <c r="S52" s="527"/>
      <c r="T52" s="530" t="s">
        <v>406</v>
      </c>
      <c r="U52" s="529"/>
      <c r="V52" s="529"/>
      <c r="W52" s="529"/>
      <c r="X52" s="529"/>
      <c r="Y52" s="529"/>
      <c r="Z52" s="529"/>
      <c r="AA52" s="529"/>
      <c r="AB52" s="529"/>
      <c r="AC52" s="529"/>
      <c r="AD52" s="529"/>
      <c r="AE52" s="529"/>
      <c r="AF52" s="529"/>
      <c r="AG52" s="529"/>
      <c r="AH52" s="529"/>
      <c r="AI52" s="529"/>
      <c r="AJ52" s="529"/>
      <c r="AK52" s="529"/>
      <c r="AM52" s="128"/>
      <c r="AN52" s="128" t="str">
        <f t="shared" si="39"/>
        <v xml:space="preserve">Добавить территорию для дифференциации</v>
      </c>
      <c r="AO52" s="128"/>
      <c r="AP52" s="128"/>
    </row>
    <row r="53" s="57" customFormat="1" ht="0" customHeight="1">
      <c r="A53" s="132"/>
      <c r="B53" s="132"/>
      <c r="C53" s="132"/>
      <c r="D53" s="132"/>
      <c r="E53" s="132"/>
      <c r="F53" s="132"/>
      <c r="G53" s="132"/>
      <c r="H53" s="132"/>
      <c r="I53" s="132"/>
      <c r="J53" s="132"/>
      <c r="K53" s="132"/>
      <c r="L53" s="213"/>
      <c r="M53" s="526"/>
      <c r="N53" s="526"/>
      <c r="P53" s="166"/>
      <c r="Q53" s="522"/>
      <c r="R53" s="166"/>
      <c r="S53" s="527"/>
      <c r="T53" s="530" t="s">
        <v>438</v>
      </c>
      <c r="U53" s="529"/>
      <c r="V53" s="529"/>
      <c r="W53" s="529"/>
      <c r="X53" s="529"/>
      <c r="Y53" s="529"/>
      <c r="Z53" s="529"/>
      <c r="AA53" s="529"/>
      <c r="AB53" s="529"/>
      <c r="AC53" s="529"/>
      <c r="AD53" s="529"/>
      <c r="AE53" s="529"/>
      <c r="AF53" s="529"/>
      <c r="AG53" s="529"/>
      <c r="AH53" s="529"/>
      <c r="AI53" s="529"/>
      <c r="AJ53" s="529"/>
      <c r="AK53" s="529"/>
      <c r="AM53" s="128"/>
      <c r="AN53" s="128" t="str">
        <f t="shared" si="39"/>
        <v xml:space="preserve">Добавить наименование тарифа</v>
      </c>
      <c r="AO53" s="128"/>
      <c r="AP53" s="128"/>
    </row>
    <row r="54" ht="11.25" customHeight="1">
      <c r="M54" s="53"/>
      <c r="N54" s="53"/>
      <c r="O54" s="53"/>
      <c r="P54" s="50"/>
      <c r="Q54" s="50"/>
      <c r="R54" s="50"/>
      <c r="S54" s="50"/>
      <c r="AL54" s="50"/>
      <c r="AM54" s="50"/>
      <c r="AN54" s="50"/>
      <c r="AO54" s="50"/>
      <c r="AP54" s="50"/>
    </row>
    <row r="55" ht="14.25" customHeight="1">
      <c r="O55" s="53"/>
      <c r="S55" s="475"/>
      <c r="T55" s="572"/>
      <c r="U55" s="572"/>
      <c r="V55" s="572"/>
      <c r="W55" s="572"/>
      <c r="X55" s="572"/>
      <c r="Y55" s="572"/>
      <c r="Z55" s="572"/>
      <c r="AA55" s="572"/>
      <c r="AB55" s="572"/>
      <c r="AC55" s="572"/>
      <c r="AD55" s="572"/>
      <c r="AE55" s="572"/>
      <c r="AF55" s="572"/>
      <c r="AG55" s="572"/>
      <c r="AH55" s="572"/>
      <c r="AI55" s="572"/>
      <c r="AJ55" s="572"/>
      <c r="AK55" s="572"/>
    </row>
    <row r="56" ht="14.25" customHeight="1">
      <c r="O56" s="53"/>
    </row>
    <row r="57" ht="14.25" customHeight="1">
      <c r="O57" s="53"/>
      <c r="S57" s="475"/>
      <c r="T57" s="572"/>
      <c r="U57" s="572"/>
      <c r="V57" s="572"/>
      <c r="W57" s="572"/>
      <c r="X57" s="572"/>
      <c r="Y57" s="572"/>
      <c r="Z57" s="572"/>
      <c r="AA57" s="572"/>
      <c r="AB57" s="572"/>
      <c r="AC57" s="572"/>
      <c r="AD57" s="572"/>
      <c r="AE57" s="572"/>
      <c r="AF57" s="572"/>
      <c r="AG57" s="572"/>
      <c r="AH57" s="572"/>
      <c r="AI57" s="572"/>
      <c r="AJ57" s="572"/>
      <c r="AK57" s="572"/>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3D00E5-00B2-4258-97C6-00BA007F005B}"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A100D2-00DE-4767-B1C5-000000ED0051}"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CE002D-00C7-4B5F-83F8-00D100F80024}"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BA0025-00DD-4243-9F34-00100080005F}"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R27" zoomScale="90" workbookViewId="0">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1" width="3.7109375"/>
    <col customWidth="1" hidden="1" min="17" max="17" style="536" width="3.7109375"/>
    <col customWidth="1" min="18" max="18" style="477" width="3.7109375"/>
    <col customWidth="1" min="19" max="19" style="322" width="12.7109375"/>
    <col customWidth="1" min="20" max="20" style="50" width="32.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2" style="50" width="3.7109375"/>
    <col customWidth="1" min="33" max="33" style="50" width="24.7109375"/>
    <col customWidth="1" min="34" max="36" style="50" width="3.7109375"/>
    <col customWidth="1" min="37" max="37" style="50" width="24.7109375"/>
    <col customWidth="1" min="38" max="40" style="50" width="3.7109375"/>
    <col customWidth="1" min="41" max="41" style="50" width="18.8515625"/>
    <col customWidth="1" min="42" max="44" style="50" width="3.7109375"/>
    <col customWidth="1" min="45" max="45" style="50" width="18.8515625"/>
    <col customWidth="1" min="46" max="49" style="50" width="21.7109375"/>
    <col customWidth="1" min="50" max="50" style="50" width="11.7109375"/>
    <col customWidth="1" min="51" max="51" style="50" width="3.7109375"/>
    <col customWidth="1" min="52" max="52" style="50" width="11.7109375"/>
    <col customWidth="1" hidden="1" min="53" max="53" style="50" width="8.57421875"/>
    <col customWidth="1" min="54" max="54" style="50" width="4.7109375"/>
    <col customWidth="1" min="55" max="55" style="50" width="115.7109375"/>
    <col min="56" max="57" style="57" width="10.57421875"/>
    <col customWidth="1" min="58" max="58" style="57" width="11.140625"/>
    <col min="59" max="60" style="57" width="10.57421875"/>
  </cols>
  <sheetData>
    <row r="1" ht="14.25" hidden="1" customHeight="1">
      <c r="W1" s="50"/>
      <c r="Y1" s="50"/>
      <c r="Z1" s="50"/>
      <c r="AW1" s="50"/>
      <c r="AX1" s="50"/>
    </row>
    <row r="2" ht="21" hidden="1" customHeight="1">
      <c r="A2" s="478"/>
      <c r="B2" s="478"/>
      <c r="C2" s="478"/>
      <c r="D2" s="478"/>
      <c r="E2" s="479">
        <v>1</v>
      </c>
      <c r="F2" s="478"/>
      <c r="G2" s="478"/>
      <c r="H2" s="478"/>
      <c r="I2" s="478"/>
      <c r="J2" s="478"/>
      <c r="K2" s="478"/>
      <c r="L2" s="480"/>
      <c r="M2" s="481"/>
      <c r="N2" s="481"/>
      <c r="O2" s="481"/>
      <c r="P2" s="61"/>
      <c r="Q2" s="64"/>
      <c r="R2" s="482"/>
      <c r="S2" s="483" t="e">
        <f>INDEX(PT_DIFFERENTIATION_NUM_NTAR,MATCH(A2,PT_DIFFERENTIATION_NTAR_ID,0))</f>
        <v>#VALUE!</v>
      </c>
      <c r="T2" s="484" t="s">
        <v>125</v>
      </c>
      <c r="U2" s="485"/>
      <c r="V2" s="487"/>
      <c r="W2" s="487"/>
      <c r="X2" s="487"/>
      <c r="Y2" s="487"/>
      <c r="Z2" s="487"/>
      <c r="AA2" s="487"/>
      <c r="AB2" s="487"/>
      <c r="AC2" s="488"/>
      <c r="AD2" s="486" t="e">
        <f>INDEX(PT_DIFFERENTIATION_NTAR,MATCH(A2,PT_DIFFERENTIATION_NTAR_ID,0))</f>
        <v>#VALUE!</v>
      </c>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8"/>
      <c r="BC2"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8"/>
      <c r="BF2" s="128" t="str">
        <f t="shared" ref="BF2:BF8" si="40">IF(T2="","",T2)</f>
        <v xml:space="preserve">Наименование тарифа</v>
      </c>
      <c r="BG2" s="128"/>
      <c r="BH2" s="128"/>
    </row>
    <row r="3" ht="21" hidden="1" customHeight="1">
      <c r="A3" s="478"/>
      <c r="B3" s="478"/>
      <c r="C3" s="478"/>
      <c r="D3" s="478"/>
      <c r="E3" s="490"/>
      <c r="F3" s="479">
        <v>1</v>
      </c>
      <c r="G3" s="478"/>
      <c r="H3" s="478"/>
      <c r="I3" s="478"/>
      <c r="J3" s="478"/>
      <c r="K3" s="478"/>
      <c r="L3" s="480"/>
      <c r="M3" s="481"/>
      <c r="N3" s="481"/>
      <c r="O3" s="481"/>
      <c r="P3" s="113"/>
      <c r="Q3" s="610"/>
      <c r="R3" s="492"/>
      <c r="S3" s="483" t="e">
        <f>INDEX(PT_DIFFERENTIATION_NUM_TER,MATCH(B3,PT_DIFFERENTIATION_TER_ID,0))</f>
        <v>#VALUE!</v>
      </c>
      <c r="T3" s="493" t="s">
        <v>387</v>
      </c>
      <c r="U3" s="485"/>
      <c r="V3" s="487"/>
      <c r="W3" s="487"/>
      <c r="X3" s="487"/>
      <c r="Y3" s="487"/>
      <c r="Z3" s="487"/>
      <c r="AA3" s="487"/>
      <c r="AB3" s="487"/>
      <c r="AC3" s="488"/>
      <c r="AD3" s="486" t="e">
        <f>INDEX(PT_DIFFERENTIATION_TER,MATCH(B3,PT_DIFFERENTIATION_TER_ID,0))</f>
        <v>#VALUE!</v>
      </c>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8"/>
      <c r="BC3" s="489" t="s">
        <v>388</v>
      </c>
      <c r="BE3" s="128"/>
      <c r="BF3" s="128" t="str">
        <f t="shared" si="40"/>
        <v xml:space="preserve">Территория действия тарифа</v>
      </c>
      <c r="BG3" s="128"/>
      <c r="BH3" s="128"/>
    </row>
    <row r="4" ht="33.75" hidden="1" customHeight="1">
      <c r="A4" s="478"/>
      <c r="B4" s="478"/>
      <c r="C4" s="478"/>
      <c r="D4" s="478"/>
      <c r="E4" s="490"/>
      <c r="F4" s="490"/>
      <c r="G4" s="479">
        <v>1</v>
      </c>
      <c r="H4" s="478"/>
      <c r="I4" s="478"/>
      <c r="J4" s="478"/>
      <c r="K4" s="478"/>
      <c r="L4" s="480"/>
      <c r="M4" s="481"/>
      <c r="N4" s="481"/>
      <c r="O4" s="481"/>
      <c r="P4" s="134"/>
      <c r="Q4" s="610"/>
      <c r="R4" s="492"/>
      <c r="S4" s="483" t="e">
        <f>INDEX(PT_DIFFERENTIATION_NUM_CS,MATCH(C4,PT_DIFFERENTIATION_CS_ID,0))</f>
        <v>#VALUE!</v>
      </c>
      <c r="T4" s="495" t="s">
        <v>518</v>
      </c>
      <c r="U4" s="485"/>
      <c r="V4" s="487"/>
      <c r="W4" s="487"/>
      <c r="X4" s="487"/>
      <c r="Y4" s="487"/>
      <c r="Z4" s="487"/>
      <c r="AA4" s="487"/>
      <c r="AB4" s="487"/>
      <c r="AC4" s="488"/>
      <c r="AD4" s="486" t="e">
        <f>INDEX(PT_DIFFERENTIATION_CS,MATCH(C4,PT_DIFFERENTIATION_CS_ID,0))</f>
        <v>#VALUE!</v>
      </c>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8"/>
      <c r="BC4" s="489" t="s">
        <v>519</v>
      </c>
      <c r="BE4" s="128"/>
      <c r="BF4" s="128" t="str">
        <f t="shared" si="40"/>
        <v xml:space="preserve">Наименование централизованной системы горячего водоснабжения</v>
      </c>
      <c r="BG4" s="128"/>
      <c r="BH4" s="128"/>
    </row>
    <row r="5" s="57" customFormat="1" ht="14.25" hidden="1" customHeight="1">
      <c r="A5" s="132"/>
      <c r="B5" s="132"/>
      <c r="C5" s="132"/>
      <c r="D5" s="132"/>
      <c r="E5" s="490"/>
      <c r="F5" s="490"/>
      <c r="G5" s="490"/>
      <c r="H5" s="479">
        <v>1</v>
      </c>
      <c r="I5" s="132"/>
      <c r="J5" s="132"/>
      <c r="K5" s="132"/>
      <c r="L5" s="213"/>
      <c r="M5" s="463"/>
      <c r="N5" s="463"/>
      <c r="O5" s="463"/>
      <c r="P5" s="671"/>
      <c r="Q5" s="672"/>
      <c r="R5" s="502"/>
      <c r="S5" s="351"/>
      <c r="T5" s="673"/>
      <c r="U5" s="577"/>
      <c r="V5" s="579"/>
      <c r="W5" s="579"/>
      <c r="X5" s="579"/>
      <c r="Y5" s="579"/>
      <c r="Z5" s="579"/>
      <c r="AA5" s="579"/>
      <c r="AB5" s="579"/>
      <c r="AC5" s="580"/>
      <c r="AD5" s="578"/>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80"/>
      <c r="BC5" s="581" t="s">
        <v>392</v>
      </c>
      <c r="BE5" s="128"/>
      <c r="BF5" s="128" t="str">
        <f t="shared" si="40"/>
        <v/>
      </c>
      <c r="BG5" s="128"/>
      <c r="BH5" s="128"/>
    </row>
    <row r="6" s="57" customFormat="1" ht="14.25" hidden="1" customHeight="1">
      <c r="A6" s="132"/>
      <c r="B6" s="132"/>
      <c r="C6" s="132"/>
      <c r="D6" s="132"/>
      <c r="E6" s="490"/>
      <c r="F6" s="490"/>
      <c r="G6" s="490"/>
      <c r="H6" s="490"/>
      <c r="I6" s="167" t="str">
        <f>S5&amp;".1"</f>
        <v>.1</v>
      </c>
      <c r="J6" s="132"/>
      <c r="K6" s="132"/>
      <c r="L6" s="213" t="s">
        <v>393</v>
      </c>
      <c r="M6" s="586"/>
      <c r="N6" s="586"/>
      <c r="O6" s="586"/>
      <c r="P6" s="131">
        <v>1</v>
      </c>
      <c r="Q6" s="131"/>
      <c r="R6" s="497"/>
      <c r="S6" s="351"/>
      <c r="T6" s="576"/>
      <c r="U6" s="577"/>
      <c r="V6" s="579"/>
      <c r="W6" s="579"/>
      <c r="X6" s="579"/>
      <c r="Y6" s="579"/>
      <c r="Z6" s="579"/>
      <c r="AA6" s="579"/>
      <c r="AB6" s="579"/>
      <c r="AC6" s="580"/>
      <c r="AD6" s="578"/>
      <c r="AE6" s="579"/>
      <c r="AF6" s="579"/>
      <c r="AG6" s="579"/>
      <c r="AH6" s="579"/>
      <c r="AI6" s="579"/>
      <c r="AJ6" s="579"/>
      <c r="AK6" s="579"/>
      <c r="AL6" s="579"/>
      <c r="AM6" s="579"/>
      <c r="AN6" s="579"/>
      <c r="AO6" s="579"/>
      <c r="AP6" s="579"/>
      <c r="AQ6" s="579"/>
      <c r="AR6" s="579"/>
      <c r="AS6" s="579"/>
      <c r="AT6" s="579"/>
      <c r="AU6" s="579"/>
      <c r="AV6" s="579"/>
      <c r="AW6" s="579"/>
      <c r="AX6" s="579"/>
      <c r="AY6" s="579"/>
      <c r="AZ6" s="579"/>
      <c r="BA6" s="579"/>
      <c r="BB6" s="580"/>
      <c r="BC6" s="581"/>
      <c r="BE6" s="128"/>
      <c r="BF6" s="128" t="str">
        <f t="shared" si="40"/>
        <v/>
      </c>
      <c r="BG6" s="128"/>
      <c r="BH6" s="128"/>
    </row>
    <row r="7" s="57" customFormat="1" ht="14.25" hidden="1" customHeight="1">
      <c r="A7" s="132"/>
      <c r="B7" s="132"/>
      <c r="C7" s="132"/>
      <c r="D7" s="132"/>
      <c r="E7" s="490"/>
      <c r="F7" s="490"/>
      <c r="G7" s="490"/>
      <c r="H7" s="490"/>
      <c r="I7" s="501"/>
      <c r="J7" s="167" t="str">
        <f>S5&amp;".1"</f>
        <v>.1</v>
      </c>
      <c r="K7" s="132"/>
      <c r="L7" s="213"/>
      <c r="M7" s="586"/>
      <c r="N7" s="586"/>
      <c r="O7" s="586"/>
      <c r="P7" s="131"/>
      <c r="Q7" s="131">
        <v>1</v>
      </c>
      <c r="R7" s="502"/>
      <c r="S7" s="351"/>
      <c r="T7" s="611"/>
      <c r="U7" s="577"/>
      <c r="V7" s="579"/>
      <c r="W7" s="579"/>
      <c r="X7" s="579"/>
      <c r="Y7" s="579"/>
      <c r="Z7" s="579"/>
      <c r="AA7" s="579"/>
      <c r="AB7" s="579"/>
      <c r="AC7" s="580"/>
      <c r="AD7" s="578"/>
      <c r="AE7" s="579"/>
      <c r="AF7" s="579"/>
      <c r="AG7" s="579"/>
      <c r="AH7" s="579"/>
      <c r="AI7" s="579"/>
      <c r="AJ7" s="579"/>
      <c r="AK7" s="579"/>
      <c r="AL7" s="579"/>
      <c r="AM7" s="579"/>
      <c r="AN7" s="579"/>
      <c r="AO7" s="579"/>
      <c r="AP7" s="579"/>
      <c r="AQ7" s="579"/>
      <c r="AR7" s="579"/>
      <c r="AS7" s="579"/>
      <c r="AT7" s="579"/>
      <c r="AU7" s="579"/>
      <c r="AV7" s="579"/>
      <c r="AW7" s="579"/>
      <c r="AX7" s="579"/>
      <c r="AY7" s="579"/>
      <c r="AZ7" s="579"/>
      <c r="BA7" s="579"/>
      <c r="BB7" s="580"/>
      <c r="BC7" s="581"/>
      <c r="BE7" s="128"/>
      <c r="BF7" s="128" t="str">
        <f t="shared" si="40"/>
        <v/>
      </c>
      <c r="BG7" s="128"/>
      <c r="BH7" s="128"/>
    </row>
    <row r="8" ht="11.25" hidden="1" customHeight="1">
      <c r="A8" s="478"/>
      <c r="B8" s="478"/>
      <c r="C8" s="478"/>
      <c r="D8" s="478"/>
      <c r="E8" s="490"/>
      <c r="F8" s="490"/>
      <c r="G8" s="490"/>
      <c r="H8" s="490"/>
      <c r="I8" s="501"/>
      <c r="J8" s="501"/>
      <c r="K8" s="167" t="e">
        <f>S4&amp;".1"</f>
        <v>#VALUE!</v>
      </c>
      <c r="L8" s="480"/>
      <c r="P8" s="131"/>
      <c r="Q8" s="131"/>
      <c r="R8" s="612">
        <v>1</v>
      </c>
      <c r="S8" s="613" t="e">
        <f>$K8</f>
        <v>#VALUE!</v>
      </c>
      <c r="T8" s="674"/>
      <c r="U8" s="485"/>
      <c r="V8" s="505"/>
      <c r="W8" s="507"/>
      <c r="X8" s="505"/>
      <c r="Y8" s="507"/>
      <c r="Z8" s="508"/>
      <c r="AA8" s="225" t="s">
        <v>56</v>
      </c>
      <c r="AB8" s="508"/>
      <c r="AC8" s="225" t="s">
        <v>56</v>
      </c>
      <c r="AD8" s="313" t="s">
        <v>56</v>
      </c>
      <c r="AE8" s="615"/>
      <c r="AF8" s="345">
        <v>1</v>
      </c>
      <c r="AG8" s="675"/>
      <c r="AH8" s="225" t="s">
        <v>56</v>
      </c>
      <c r="AI8" s="615"/>
      <c r="AJ8" s="345">
        <v>1</v>
      </c>
      <c r="AK8" s="676" t="s">
        <v>18</v>
      </c>
      <c r="AL8" s="225" t="s">
        <v>56</v>
      </c>
      <c r="AM8" s="303"/>
      <c r="AN8" s="345">
        <v>1</v>
      </c>
      <c r="AO8" s="677"/>
      <c r="AP8" s="678" t="s">
        <v>56</v>
      </c>
      <c r="AQ8" s="616"/>
      <c r="AR8" s="345">
        <v>1</v>
      </c>
      <c r="AS8" s="93" t="s">
        <v>18</v>
      </c>
      <c r="AT8" s="505"/>
      <c r="AU8" s="507"/>
      <c r="AV8" s="505"/>
      <c r="AW8" s="507"/>
      <c r="AX8" s="508"/>
      <c r="AY8" s="225" t="s">
        <v>56</v>
      </c>
      <c r="AZ8" s="508"/>
      <c r="BA8" s="225" t="s">
        <v>56</v>
      </c>
      <c r="BB8" s="569"/>
      <c r="BC8" s="509" t="s">
        <v>489</v>
      </c>
      <c r="BE8" s="128"/>
      <c r="BF8" s="128" t="str">
        <f t="shared" si="40"/>
        <v/>
      </c>
      <c r="BG8" s="128"/>
      <c r="BH8" s="128"/>
    </row>
    <row r="9" ht="11.25" hidden="1" customHeight="1">
      <c r="A9" s="478"/>
      <c r="B9" s="478"/>
      <c r="C9" s="478"/>
      <c r="D9" s="478"/>
      <c r="E9" s="490"/>
      <c r="F9" s="490"/>
      <c r="G9" s="490"/>
      <c r="H9" s="490"/>
      <c r="I9" s="501"/>
      <c r="J9" s="501"/>
      <c r="K9" s="167"/>
      <c r="L9" s="480"/>
      <c r="P9" s="131"/>
      <c r="Q9" s="131"/>
      <c r="R9" s="612"/>
      <c r="S9" s="617"/>
      <c r="T9" s="679"/>
      <c r="U9" s="485"/>
      <c r="V9" s="598"/>
      <c r="W9" s="621"/>
      <c r="X9" s="598"/>
      <c r="Y9" s="621"/>
      <c r="Z9" s="598"/>
      <c r="AA9" s="598"/>
      <c r="AB9" s="598"/>
      <c r="AC9" s="598"/>
      <c r="AD9" s="319"/>
      <c r="AE9" s="615"/>
      <c r="AF9" s="345"/>
      <c r="AG9" s="675"/>
      <c r="AH9" s="225"/>
      <c r="AI9" s="615"/>
      <c r="AJ9" s="345"/>
      <c r="AK9" s="676"/>
      <c r="AL9" s="225"/>
      <c r="AM9" s="309"/>
      <c r="AN9" s="345"/>
      <c r="AO9" s="677"/>
      <c r="AP9" s="680"/>
      <c r="AQ9" s="620"/>
      <c r="AR9" s="179"/>
      <c r="AS9" s="179" t="s">
        <v>490</v>
      </c>
      <c r="AT9" s="598"/>
      <c r="AU9" s="621"/>
      <c r="AV9" s="598"/>
      <c r="AW9" s="621"/>
      <c r="AX9" s="598"/>
      <c r="AY9" s="598"/>
      <c r="AZ9" s="598"/>
      <c r="BA9" s="598"/>
      <c r="BB9" s="619"/>
      <c r="BC9" s="512"/>
      <c r="BE9" s="128"/>
      <c r="BF9" s="128"/>
      <c r="BG9" s="128"/>
      <c r="BH9" s="128"/>
    </row>
    <row r="10" ht="11.25" hidden="1" customHeight="1">
      <c r="A10" s="478"/>
      <c r="B10" s="478"/>
      <c r="C10" s="478"/>
      <c r="D10" s="478"/>
      <c r="E10" s="490"/>
      <c r="F10" s="490"/>
      <c r="G10" s="490"/>
      <c r="H10" s="490"/>
      <c r="I10" s="501"/>
      <c r="J10" s="501"/>
      <c r="K10" s="167"/>
      <c r="L10" s="480"/>
      <c r="P10" s="131"/>
      <c r="Q10" s="131"/>
      <c r="R10" s="612"/>
      <c r="S10" s="617"/>
      <c r="T10" s="679"/>
      <c r="U10" s="485"/>
      <c r="V10" s="598"/>
      <c r="W10" s="621"/>
      <c r="X10" s="598"/>
      <c r="Y10" s="621"/>
      <c r="Z10" s="598"/>
      <c r="AA10" s="598"/>
      <c r="AB10" s="598"/>
      <c r="AC10" s="598"/>
      <c r="AD10" s="319"/>
      <c r="AE10" s="615"/>
      <c r="AF10" s="345"/>
      <c r="AG10" s="675"/>
      <c r="AH10" s="225"/>
      <c r="AI10" s="615"/>
      <c r="AJ10" s="345"/>
      <c r="AK10" s="676"/>
      <c r="AL10" s="225"/>
      <c r="AM10" s="620"/>
      <c r="AN10" s="681"/>
      <c r="AO10" s="681" t="s">
        <v>491</v>
      </c>
      <c r="AP10" s="179"/>
      <c r="AQ10" s="179"/>
      <c r="AR10" s="179"/>
      <c r="AS10" s="598"/>
      <c r="AT10" s="598"/>
      <c r="AU10" s="621"/>
      <c r="AV10" s="598"/>
      <c r="AW10" s="621"/>
      <c r="AX10" s="598"/>
      <c r="AY10" s="598"/>
      <c r="AZ10" s="598"/>
      <c r="BA10" s="598"/>
      <c r="BB10" s="619"/>
      <c r="BC10" s="512"/>
      <c r="BE10" s="128"/>
      <c r="BF10" s="128"/>
      <c r="BG10" s="128"/>
      <c r="BH10" s="128"/>
    </row>
    <row r="11" ht="11.25" hidden="1" customHeight="1">
      <c r="A11" s="478"/>
      <c r="B11" s="478"/>
      <c r="C11" s="478"/>
      <c r="D11" s="478"/>
      <c r="E11" s="490"/>
      <c r="F11" s="490"/>
      <c r="G11" s="490"/>
      <c r="H11" s="490"/>
      <c r="I11" s="501"/>
      <c r="J11" s="501"/>
      <c r="K11" s="167"/>
      <c r="L11" s="480"/>
      <c r="P11" s="131"/>
      <c r="Q11" s="131"/>
      <c r="R11" s="612"/>
      <c r="S11" s="617"/>
      <c r="T11" s="679"/>
      <c r="U11" s="485"/>
      <c r="V11" s="598"/>
      <c r="W11" s="621"/>
      <c r="X11" s="598"/>
      <c r="Y11" s="621"/>
      <c r="Z11" s="598"/>
      <c r="AA11" s="598"/>
      <c r="AB11" s="598"/>
      <c r="AC11" s="598"/>
      <c r="AD11" s="319"/>
      <c r="AE11" s="615"/>
      <c r="AF11" s="345"/>
      <c r="AG11" s="675"/>
      <c r="AH11" s="225"/>
      <c r="AI11" s="623"/>
      <c r="AJ11" s="174"/>
      <c r="AK11" s="440" t="s">
        <v>492</v>
      </c>
      <c r="AL11" s="598"/>
      <c r="AM11" s="598"/>
      <c r="AN11" s="598"/>
      <c r="AO11" s="598"/>
      <c r="AP11" s="598"/>
      <c r="AQ11" s="598"/>
      <c r="AR11" s="598"/>
      <c r="AS11" s="598"/>
      <c r="AT11" s="598"/>
      <c r="AU11" s="621"/>
      <c r="AV11" s="598"/>
      <c r="AW11" s="621"/>
      <c r="AX11" s="598"/>
      <c r="AY11" s="598"/>
      <c r="AZ11" s="598"/>
      <c r="BA11" s="598"/>
      <c r="BB11" s="619"/>
      <c r="BC11" s="512"/>
      <c r="BE11" s="128"/>
      <c r="BF11" s="128"/>
      <c r="BG11" s="128"/>
      <c r="BH11" s="128"/>
    </row>
    <row r="12" ht="11.25" hidden="1" customHeight="1">
      <c r="A12" s="478"/>
      <c r="B12" s="478"/>
      <c r="C12" s="478"/>
      <c r="D12" s="478"/>
      <c r="E12" s="490"/>
      <c r="F12" s="490"/>
      <c r="G12" s="490"/>
      <c r="H12" s="490"/>
      <c r="I12" s="501"/>
      <c r="J12" s="501"/>
      <c r="K12" s="167"/>
      <c r="L12" s="480"/>
      <c r="P12" s="131"/>
      <c r="Q12" s="131"/>
      <c r="R12" s="612"/>
      <c r="S12" s="624"/>
      <c r="T12" s="682"/>
      <c r="U12" s="485"/>
      <c r="V12" s="598"/>
      <c r="W12" s="599" t="str">
        <f>Z8&amp;"-"&amp;AB8</f>
        <v>-</v>
      </c>
      <c r="X12" s="598"/>
      <c r="Y12" s="599" t="str">
        <f>AB8&amp;"-"&amp;AD8</f>
        <v>-да</v>
      </c>
      <c r="Z12" s="598"/>
      <c r="AA12" s="598"/>
      <c r="AB12" s="598"/>
      <c r="AC12" s="598"/>
      <c r="AD12" s="221"/>
      <c r="AE12" s="627"/>
      <c r="AF12" s="628"/>
      <c r="AG12" s="179" t="s">
        <v>493</v>
      </c>
      <c r="AH12" s="598"/>
      <c r="AI12" s="598"/>
      <c r="AJ12" s="598"/>
      <c r="AK12" s="598"/>
      <c r="AL12" s="598"/>
      <c r="AM12" s="598"/>
      <c r="AN12" s="598"/>
      <c r="AO12" s="598"/>
      <c r="AP12" s="598"/>
      <c r="AQ12" s="598"/>
      <c r="AR12" s="598"/>
      <c r="AS12" s="598"/>
      <c r="AT12" s="598"/>
      <c r="AU12" s="599" t="str">
        <f>AX8&amp;"-"&amp;AZ8</f>
        <v>-</v>
      </c>
      <c r="AV12" s="598"/>
      <c r="AW12" s="599" t="str">
        <f>AZ8&amp;"-"&amp;BB8</f>
        <v>-</v>
      </c>
      <c r="AX12" s="598"/>
      <c r="AY12" s="598"/>
      <c r="AZ12" s="598"/>
      <c r="BA12" s="598"/>
      <c r="BB12" s="626" t="str">
        <f>BE8&amp;"-"&amp;BG8</f>
        <v>-</v>
      </c>
      <c r="BC12" s="512"/>
      <c r="BE12" s="128"/>
      <c r="BF12" s="128" t="str">
        <f t="shared" ref="BF12:BF63" si="41">IF(T12="","",T12)</f>
        <v/>
      </c>
      <c r="BG12" s="128"/>
      <c r="BH12" s="128"/>
    </row>
    <row r="13" ht="11.25" hidden="1" customHeight="1">
      <c r="A13" s="478"/>
      <c r="B13" s="478"/>
      <c r="C13" s="478"/>
      <c r="D13" s="478"/>
      <c r="E13" s="490"/>
      <c r="F13" s="490"/>
      <c r="G13" s="490"/>
      <c r="H13" s="490"/>
      <c r="I13" s="501"/>
      <c r="J13" s="167"/>
      <c r="K13" s="478"/>
      <c r="L13" s="480"/>
      <c r="P13" s="131"/>
      <c r="Q13" s="131"/>
      <c r="R13" s="497"/>
      <c r="S13" s="513"/>
      <c r="T13" s="517" t="s">
        <v>457</v>
      </c>
      <c r="U13" s="215"/>
      <c r="V13" s="215"/>
      <c r="W13" s="215"/>
      <c r="X13" s="215"/>
      <c r="Y13" s="215"/>
      <c r="Z13" s="215"/>
      <c r="AA13" s="215"/>
      <c r="AB13" s="215"/>
      <c r="AC13" s="215"/>
      <c r="AD13" s="656"/>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515"/>
      <c r="BC13" s="516"/>
      <c r="BE13" s="128"/>
      <c r="BF13" s="128" t="str">
        <f t="shared" si="41"/>
        <v xml:space="preserve">Добавить строку</v>
      </c>
      <c r="BG13" s="128"/>
      <c r="BH13" s="128"/>
    </row>
    <row r="14" s="57" customFormat="1" ht="14.25" hidden="1" customHeight="1">
      <c r="A14" s="132"/>
      <c r="B14" s="132"/>
      <c r="C14" s="132"/>
      <c r="D14" s="132"/>
      <c r="E14" s="490"/>
      <c r="F14" s="490"/>
      <c r="G14" s="490"/>
      <c r="H14" s="490"/>
      <c r="I14" s="167"/>
      <c r="J14" s="132"/>
      <c r="K14" s="132"/>
      <c r="L14" s="213"/>
      <c r="M14" s="586"/>
      <c r="N14" s="586"/>
      <c r="O14" s="586"/>
      <c r="P14" s="131"/>
      <c r="Q14" s="131"/>
      <c r="R14" s="497"/>
      <c r="S14" s="582"/>
      <c r="T14" s="583"/>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4"/>
      <c r="AY14" s="584"/>
      <c r="AZ14" s="584"/>
      <c r="BA14" s="584"/>
      <c r="BB14" s="584"/>
      <c r="BC14" s="585"/>
      <c r="BE14" s="128"/>
      <c r="BF14" s="128" t="str">
        <f t="shared" si="41"/>
        <v/>
      </c>
      <c r="BG14" s="128"/>
      <c r="BH14" s="128"/>
    </row>
    <row r="15" s="57" customFormat="1" ht="14.25" hidden="1" customHeight="1">
      <c r="A15" s="132"/>
      <c r="B15" s="132"/>
      <c r="C15" s="132"/>
      <c r="D15" s="132"/>
      <c r="E15" s="490"/>
      <c r="F15" s="490"/>
      <c r="G15" s="490"/>
      <c r="H15" s="479"/>
      <c r="I15" s="132"/>
      <c r="J15" s="132"/>
      <c r="K15" s="132"/>
      <c r="L15" s="213"/>
      <c r="M15" s="463"/>
      <c r="N15" s="463"/>
      <c r="O15" s="57"/>
      <c r="P15" s="166"/>
      <c r="Q15" s="522"/>
      <c r="R15" s="629"/>
      <c r="S15" s="582"/>
      <c r="T15" s="583"/>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4"/>
      <c r="BC15" s="585"/>
      <c r="BE15" s="128"/>
      <c r="BF15" s="128" t="str">
        <f t="shared" si="41"/>
        <v/>
      </c>
      <c r="BG15" s="128"/>
      <c r="BH15" s="128"/>
    </row>
    <row r="16" s="57" customFormat="1" ht="14.25" hidden="1" customHeight="1">
      <c r="A16" s="132"/>
      <c r="B16" s="132"/>
      <c r="C16" s="132"/>
      <c r="D16" s="132"/>
      <c r="E16" s="490"/>
      <c r="F16" s="490"/>
      <c r="G16" s="479"/>
      <c r="H16" s="132"/>
      <c r="I16" s="132"/>
      <c r="J16" s="132"/>
      <c r="K16" s="132"/>
      <c r="L16" s="213"/>
      <c r="M16" s="463"/>
      <c r="N16" s="463"/>
      <c r="P16" s="166"/>
      <c r="Q16" s="522"/>
      <c r="R16" s="166"/>
      <c r="S16" s="527"/>
      <c r="T16" s="530"/>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29"/>
      <c r="AY16" s="529"/>
      <c r="AZ16" s="529"/>
      <c r="BA16" s="529"/>
      <c r="BB16" s="529"/>
      <c r="BC16" s="529"/>
      <c r="BE16" s="128"/>
      <c r="BF16" s="128" t="str">
        <f t="shared" si="41"/>
        <v/>
      </c>
      <c r="BG16" s="128"/>
      <c r="BH16" s="128"/>
    </row>
    <row r="17" s="57" customFormat="1" ht="14.25" hidden="1" customHeight="1">
      <c r="A17" s="132"/>
      <c r="B17" s="132"/>
      <c r="C17" s="132"/>
      <c r="D17" s="132"/>
      <c r="E17" s="490"/>
      <c r="F17" s="479"/>
      <c r="G17" s="132"/>
      <c r="H17" s="132"/>
      <c r="I17" s="132"/>
      <c r="J17" s="132"/>
      <c r="K17" s="132"/>
      <c r="L17" s="213"/>
      <c r="M17" s="526"/>
      <c r="N17" s="526"/>
      <c r="P17" s="166"/>
      <c r="Q17" s="522"/>
      <c r="R17" s="166"/>
      <c r="S17" s="527"/>
      <c r="T17" s="530" t="s">
        <v>405</v>
      </c>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529"/>
      <c r="AZ17" s="529"/>
      <c r="BA17" s="529"/>
      <c r="BB17" s="529"/>
      <c r="BC17" s="529"/>
      <c r="BE17" s="128"/>
      <c r="BF17" s="128" t="str">
        <f t="shared" si="41"/>
        <v xml:space="preserve">Добавить централизованную систему для дифференциации</v>
      </c>
      <c r="BG17" s="128"/>
      <c r="BH17" s="128"/>
    </row>
    <row r="18" s="57" customFormat="1" ht="14.25" hidden="1" customHeight="1">
      <c r="A18" s="132"/>
      <c r="B18" s="132"/>
      <c r="C18" s="132"/>
      <c r="D18" s="132"/>
      <c r="E18" s="479"/>
      <c r="F18" s="132"/>
      <c r="G18" s="132"/>
      <c r="H18" s="132"/>
      <c r="I18" s="132"/>
      <c r="J18" s="132"/>
      <c r="K18" s="132"/>
      <c r="L18" s="213"/>
      <c r="M18" s="526"/>
      <c r="N18" s="526"/>
      <c r="O18" s="57"/>
      <c r="P18" s="166"/>
      <c r="Q18" s="522"/>
      <c r="R18" s="166"/>
      <c r="S18" s="527"/>
      <c r="T18" s="530" t="s">
        <v>406</v>
      </c>
      <c r="U18" s="529"/>
      <c r="V18" s="529"/>
      <c r="W18" s="529"/>
      <c r="X18" s="529"/>
      <c r="Y18" s="529"/>
      <c r="Z18" s="529"/>
      <c r="AA18" s="529"/>
      <c r="AB18" s="529"/>
      <c r="AC18" s="529"/>
      <c r="AD18" s="529"/>
      <c r="AE18" s="529"/>
      <c r="AF18" s="529"/>
      <c r="AG18" s="529"/>
      <c r="AH18" s="529"/>
      <c r="AI18" s="529"/>
      <c r="AJ18" s="529"/>
      <c r="AK18" s="529"/>
      <c r="AL18" s="529"/>
      <c r="AM18" s="529"/>
      <c r="AN18" s="529"/>
      <c r="AO18" s="529"/>
      <c r="AP18" s="529"/>
      <c r="AQ18" s="529"/>
      <c r="AR18" s="529"/>
      <c r="AS18" s="529"/>
      <c r="AT18" s="529"/>
      <c r="AU18" s="529"/>
      <c r="AV18" s="529"/>
      <c r="AW18" s="529"/>
      <c r="AX18" s="529"/>
      <c r="AY18" s="529"/>
      <c r="AZ18" s="529"/>
      <c r="BA18" s="529"/>
      <c r="BB18" s="529"/>
      <c r="BC18" s="529"/>
      <c r="BE18" s="128"/>
      <c r="BF18" s="128" t="str">
        <f t="shared" si="41"/>
        <v xml:space="preserve">Добавить территорию для дифференциации</v>
      </c>
      <c r="BG18" s="128"/>
      <c r="BH18" s="128"/>
    </row>
    <row r="19" ht="14.25" hidden="1" customHeight="1">
      <c r="AC19" s="50"/>
      <c r="BA19" s="50"/>
    </row>
    <row r="20" ht="14.25" hidden="1" customHeight="1">
      <c r="AD20" s="529" t="s">
        <v>54</v>
      </c>
      <c r="AE20" s="630"/>
      <c r="AF20" s="529">
        <v>1</v>
      </c>
      <c r="AG20" s="631"/>
      <c r="AH20" s="529" t="s">
        <v>54</v>
      </c>
      <c r="AI20" s="630"/>
      <c r="AJ20" s="529">
        <v>1</v>
      </c>
      <c r="AK20" s="631"/>
      <c r="AL20" s="529" t="s">
        <v>54</v>
      </c>
      <c r="AM20" s="632"/>
      <c r="AN20" s="529">
        <v>1</v>
      </c>
      <c r="AO20" s="133"/>
      <c r="AP20" s="529" t="s">
        <v>54</v>
      </c>
      <c r="AQ20" s="632"/>
      <c r="AR20" s="529">
        <v>1</v>
      </c>
      <c r="AS20" s="133"/>
      <c r="AT20" s="506"/>
      <c r="AU20" s="573"/>
      <c r="AV20" s="506"/>
      <c r="AW20" s="573"/>
      <c r="AX20" s="636"/>
      <c r="AY20" s="637" t="s">
        <v>56</v>
      </c>
      <c r="AZ20" s="636"/>
      <c r="BA20" s="637" t="s">
        <v>56</v>
      </c>
    </row>
    <row r="21" ht="14.25" hidden="1" customHeight="1">
      <c r="BD21" s="130"/>
      <c r="BE21" s="130"/>
      <c r="BF21" s="130"/>
      <c r="BG21" s="130"/>
      <c r="BH21" s="130"/>
    </row>
    <row r="22" ht="14.25" hidden="1" customHeight="1">
      <c r="O22" s="535" t="s">
        <v>407</v>
      </c>
      <c r="Z22" s="606"/>
      <c r="AB22" s="606"/>
      <c r="AC22" s="50"/>
      <c r="AX22" s="606"/>
      <c r="AZ22" s="606"/>
      <c r="BA22" s="50"/>
      <c r="BD22" s="130"/>
      <c r="BE22" s="130"/>
      <c r="BF22" s="130"/>
      <c r="BG22" s="130"/>
      <c r="BH22" s="130"/>
    </row>
    <row r="23" ht="14.25" hidden="1" customHeight="1">
      <c r="AC23" s="50"/>
      <c r="BA23" s="50"/>
      <c r="BD23" s="130"/>
      <c r="BE23" s="130"/>
      <c r="BF23" s="130"/>
      <c r="BG23" s="130"/>
      <c r="BH23" s="130"/>
    </row>
    <row r="24" s="638" customFormat="1" ht="14.25" hidden="1" customHeight="1">
      <c r="M24" s="639"/>
      <c r="N24" s="639"/>
      <c r="O24" s="638" t="s">
        <v>408</v>
      </c>
      <c r="P24" s="639"/>
      <c r="Q24" s="640"/>
      <c r="R24" s="640"/>
      <c r="AA24" s="638" t="s">
        <v>410</v>
      </c>
      <c r="AC24" s="638" t="s">
        <v>411</v>
      </c>
      <c r="AD24" s="638" t="s">
        <v>458</v>
      </c>
      <c r="AH24" s="638" t="s">
        <v>458</v>
      </c>
      <c r="AK24" s="638" t="s">
        <v>494</v>
      </c>
      <c r="AL24" s="638" t="s">
        <v>458</v>
      </c>
      <c r="AP24" s="638" t="s">
        <v>458</v>
      </c>
      <c r="AY24" s="638" t="s">
        <v>410</v>
      </c>
      <c r="BA24" s="638" t="s">
        <v>411</v>
      </c>
      <c r="BD24" s="641"/>
      <c r="BE24" s="641"/>
      <c r="BF24" s="641"/>
      <c r="BG24" s="641"/>
      <c r="BH24" s="641"/>
    </row>
    <row r="25" ht="14.25" hidden="1" customHeight="1">
      <c r="O25" s="480"/>
      <c r="BD25" s="130"/>
      <c r="BE25" s="130"/>
      <c r="BF25" s="130"/>
      <c r="BG25" s="130"/>
      <c r="BH25" s="130"/>
    </row>
    <row r="26" ht="14.25" hidden="1" customHeight="1">
      <c r="O26" s="480"/>
      <c r="BD26" s="130"/>
      <c r="BE26" s="130"/>
      <c r="BF26" s="130"/>
      <c r="BG26" s="130"/>
      <c r="BH26" s="130"/>
    </row>
    <row r="27" ht="14.25" customHeight="1">
      <c r="Q27" s="642"/>
      <c r="R27" s="537"/>
      <c r="S27" s="538"/>
      <c r="T27" s="89"/>
      <c r="U27" s="8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row>
    <row r="28" ht="14.25" customHeight="1">
      <c r="Q28" s="642"/>
      <c r="R28" s="537"/>
      <c r="S28" s="451" t="str">
        <f>IF(TEMPLATE_GROUP="P",PT_P_FORM_HOTVSNA_5_NAME_FORM,PT_R_FORM_HOTVSNA_17_NAME_FORM)</f>
        <v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241"/>
    </row>
    <row r="29" ht="14.25" customHeight="1">
      <c r="Q29" s="642"/>
      <c r="R29" s="537"/>
      <c r="S29" s="302" t="str">
        <f>IF(org=0,"Не определено",org)</f>
        <v xml:space="preserve">филиал ПАО "ОГК-2" - Адлерская ТЭС</v>
      </c>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241"/>
    </row>
    <row r="30" ht="14.25" hidden="1" customHeight="1">
      <c r="Q30" s="642"/>
      <c r="R30" s="537"/>
      <c r="S30" s="538"/>
      <c r="T30" s="89"/>
      <c r="U30" s="8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0"/>
    </row>
    <row r="31" s="185" customFormat="1" ht="25.5" hidden="1" customHeight="1">
      <c r="A31" s="150"/>
      <c r="B31" s="150"/>
      <c r="C31" s="150"/>
      <c r="D31" s="150"/>
      <c r="E31" s="150"/>
      <c r="F31" s="150"/>
      <c r="G31" s="150"/>
      <c r="H31" s="150"/>
      <c r="I31" s="150"/>
      <c r="J31" s="150"/>
      <c r="K31" s="150"/>
      <c r="L31" s="480"/>
      <c r="M31" s="150"/>
      <c r="N31" s="150"/>
      <c r="O31" s="150"/>
      <c r="P31" s="150"/>
      <c r="Q31" s="150"/>
      <c r="S31" s="540" t="s">
        <v>38</v>
      </c>
      <c r="T31" s="540"/>
      <c r="U31" s="541"/>
      <c r="V31" s="542" t="str">
        <f>IF(TITLE_NAME_OR_PR_CHANGE="",IF(TITLE_NAME_OR_PR="","",TITLE_NAME_OR_PR),TITLE_NAME_OR_PR_CHANGE)</f>
        <v/>
      </c>
      <c r="W31" s="542"/>
      <c r="X31" s="542"/>
      <c r="Y31" s="542"/>
      <c r="Z31" s="542"/>
      <c r="AA31" s="542"/>
      <c r="AB31" s="542"/>
      <c r="AC31" s="50"/>
      <c r="AD31" s="542" t="str">
        <f>IF(TITLE_NAME_OR_PR_CHANGE="",IF(TITLE_NAME_OR_PR="","",TITLE_NAME_OR_PR),TITLE_NAME_OR_PR_CHANGE)</f>
        <v/>
      </c>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0"/>
      <c r="BB31" s="50"/>
      <c r="BC31" s="543"/>
      <c r="BD31" s="128"/>
      <c r="BE31" s="128"/>
      <c r="BF31" s="128"/>
      <c r="BG31" s="128"/>
      <c r="BH31" s="128"/>
    </row>
    <row r="32" s="185" customFormat="1" ht="18.75" hidden="1" customHeight="1">
      <c r="A32" s="150"/>
      <c r="B32" s="150"/>
      <c r="C32" s="150"/>
      <c r="D32" s="150"/>
      <c r="E32" s="150"/>
      <c r="F32" s="150"/>
      <c r="G32" s="150"/>
      <c r="H32" s="150"/>
      <c r="I32" s="150"/>
      <c r="J32" s="150"/>
      <c r="K32" s="150"/>
      <c r="L32" s="480"/>
      <c r="M32" s="150"/>
      <c r="N32" s="150"/>
      <c r="O32" s="150"/>
      <c r="P32" s="150"/>
      <c r="Q32" s="150"/>
      <c r="S32" s="540" t="s">
        <v>413</v>
      </c>
      <c r="T32" s="540"/>
      <c r="U32" s="541"/>
      <c r="V32" s="544" t="str">
        <f>IF(TITLE_DATE_PR_CHANGE="",IF(TITLE_DATE_PR="","",TITLE_DATE_PR),TITLE_DATE_PR_CHANGE)</f>
        <v/>
      </c>
      <c r="W32" s="544"/>
      <c r="X32" s="544"/>
      <c r="Y32" s="544"/>
      <c r="Z32" s="544"/>
      <c r="AA32" s="544"/>
      <c r="AB32" s="544"/>
      <c r="AC32" s="50"/>
      <c r="AD32" s="544" t="str">
        <f>IF(TITLE_DATE_PR_CHANGE="",IF(TITLE_DATE_PR="","",TITLE_DATE_PR),TITLE_DATE_PR_CHANGE)</f>
        <v/>
      </c>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0"/>
      <c r="BB32" s="50"/>
      <c r="BC32" s="543"/>
      <c r="BD32" s="128"/>
      <c r="BE32" s="128"/>
      <c r="BF32" s="128"/>
      <c r="BG32" s="128"/>
      <c r="BH32" s="128"/>
    </row>
    <row r="33" s="185" customFormat="1" ht="18.75" hidden="1" customHeight="1">
      <c r="A33" s="150"/>
      <c r="B33" s="150"/>
      <c r="C33" s="150"/>
      <c r="D33" s="150"/>
      <c r="E33" s="150"/>
      <c r="F33" s="150"/>
      <c r="G33" s="150"/>
      <c r="H33" s="150"/>
      <c r="I33" s="150"/>
      <c r="J33" s="150"/>
      <c r="K33" s="150"/>
      <c r="L33" s="480"/>
      <c r="M33" s="150"/>
      <c r="N33" s="150"/>
      <c r="O33" s="150"/>
      <c r="P33" s="150"/>
      <c r="Q33" s="150"/>
      <c r="S33" s="540" t="s">
        <v>414</v>
      </c>
      <c r="T33" s="540"/>
      <c r="U33" s="541"/>
      <c r="V33" s="542" t="str">
        <f>IF(TITLE_NUMBER_PR_CHANGE="",IF(TITLE_NUMBER_PR="","",TITLE_NUMBER_PR),TITLE_NUMBER_PR_CHANGE)</f>
        <v/>
      </c>
      <c r="W33" s="542"/>
      <c r="X33" s="542"/>
      <c r="Y33" s="542"/>
      <c r="Z33" s="542"/>
      <c r="AA33" s="542"/>
      <c r="AB33" s="542"/>
      <c r="AC33" s="50"/>
      <c r="AD33" s="542" t="str">
        <f>IF(TITLE_NUMBER_PR_CHANGE="",IF(TITLE_NUMBER_PR="","",TITLE_NUMBER_PR),TITLE_NUMBER_PR_CHANGE)</f>
        <v/>
      </c>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0"/>
      <c r="BB33" s="50"/>
      <c r="BC33" s="543"/>
      <c r="BD33" s="128"/>
      <c r="BE33" s="128"/>
      <c r="BF33" s="128"/>
      <c r="BG33" s="128"/>
      <c r="BH33" s="128"/>
    </row>
    <row r="34" s="185" customFormat="1" ht="18.75" hidden="1" customHeight="1">
      <c r="A34" s="150"/>
      <c r="B34" s="150"/>
      <c r="C34" s="150"/>
      <c r="D34" s="150"/>
      <c r="E34" s="150"/>
      <c r="F34" s="150"/>
      <c r="G34" s="150"/>
      <c r="H34" s="150"/>
      <c r="I34" s="150"/>
      <c r="J34" s="150"/>
      <c r="K34" s="150"/>
      <c r="L34" s="480"/>
      <c r="M34" s="150"/>
      <c r="N34" s="150"/>
      <c r="O34" s="150"/>
      <c r="P34" s="150"/>
      <c r="Q34" s="150"/>
      <c r="S34" s="540" t="s">
        <v>39</v>
      </c>
      <c r="T34" s="540"/>
      <c r="U34" s="541"/>
      <c r="V34" s="542" t="str">
        <f>IF(TITLE_IST_PUB_CHANGE="",IF(TITLE_IST_PUB="","",TITLE_IST_PUB),TITLE_IST_PUB_CHANGE)</f>
        <v/>
      </c>
      <c r="W34" s="542"/>
      <c r="X34" s="542"/>
      <c r="Y34" s="542"/>
      <c r="Z34" s="542"/>
      <c r="AA34" s="542"/>
      <c r="AB34" s="542"/>
      <c r="AC34" s="50"/>
      <c r="AD34" s="542" t="str">
        <f>IF(TITLE_IST_PUB_CHANGE="",IF(TITLE_IST_PUB="","",TITLE_IST_PUB),TITLE_IST_PUB_CHANGE)</f>
        <v/>
      </c>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0"/>
      <c r="BB34" s="50"/>
      <c r="BC34" s="543"/>
      <c r="BD34" s="128"/>
      <c r="BE34" s="128"/>
      <c r="BF34" s="128"/>
      <c r="BG34" s="128"/>
      <c r="BH34" s="128"/>
    </row>
    <row r="35" ht="14.25" hidden="1" customHeight="1">
      <c r="Q35" s="642"/>
      <c r="R35" s="537"/>
      <c r="S35" s="538"/>
      <c r="T35" s="89"/>
      <c r="U35" s="8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0"/>
    </row>
    <row r="36" s="185" customFormat="1" ht="18.75" hidden="1" customHeight="1">
      <c r="A36" s="150"/>
      <c r="B36" s="150"/>
      <c r="C36" s="150"/>
      <c r="D36" s="150"/>
      <c r="E36" s="150"/>
      <c r="F36" s="150"/>
      <c r="G36" s="150"/>
      <c r="H36" s="150"/>
      <c r="I36" s="150"/>
      <c r="J36" s="150"/>
      <c r="K36" s="150"/>
      <c r="L36" s="480"/>
      <c r="M36" s="150"/>
      <c r="N36" s="150"/>
      <c r="O36" s="150"/>
      <c r="P36" s="150"/>
      <c r="Q36" s="150"/>
      <c r="S36" s="540" t="s">
        <v>413</v>
      </c>
      <c r="T36" s="540"/>
      <c r="U36" s="541"/>
      <c r="V36" s="544" t="str">
        <f>IF(TITLE_DATE_PR_CHANGE="",IF(TITLE_DATE_PR="","",TITLE_DATE_PR),TITLE_DATE_PR_CHANGE)</f>
        <v/>
      </c>
      <c r="W36" s="544"/>
      <c r="X36" s="544"/>
      <c r="Y36" s="544"/>
      <c r="Z36" s="544"/>
      <c r="AA36" s="544"/>
      <c r="AB36" s="544"/>
      <c r="AC36" s="50"/>
      <c r="AD36" s="544" t="str">
        <f>IF(TITLE_DATE_PR_CHANGE="",IF(TITLE_DATE_PR="","",TITLE_DATE_PR),TITLE_DATE_PR_CHANGE)</f>
        <v/>
      </c>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0"/>
      <c r="BB36" s="50"/>
      <c r="BC36" s="543"/>
      <c r="BD36" s="128"/>
      <c r="BE36" s="128"/>
      <c r="BF36" s="128"/>
      <c r="BG36" s="128"/>
      <c r="BH36" s="128"/>
    </row>
    <row r="37" s="185" customFormat="1" ht="18.75" hidden="1" customHeight="1">
      <c r="A37" s="150"/>
      <c r="B37" s="150"/>
      <c r="C37" s="150"/>
      <c r="D37" s="150"/>
      <c r="E37" s="150"/>
      <c r="F37" s="150"/>
      <c r="G37" s="150"/>
      <c r="H37" s="150"/>
      <c r="I37" s="150"/>
      <c r="J37" s="150"/>
      <c r="K37" s="150"/>
      <c r="L37" s="480"/>
      <c r="M37" s="150"/>
      <c r="N37" s="150"/>
      <c r="O37" s="150"/>
      <c r="P37" s="150"/>
      <c r="Q37" s="150"/>
      <c r="S37" s="540" t="s">
        <v>414</v>
      </c>
      <c r="T37" s="540"/>
      <c r="U37" s="541"/>
      <c r="V37" s="542" t="str">
        <f>IF(TITLE_NUMBER_PR_CHANGE="",IF(TITLE_NUMBER_PR="","",TITLE_NUMBER_PR),TITLE_NUMBER_PR_CHANGE)</f>
        <v/>
      </c>
      <c r="W37" s="542"/>
      <c r="X37" s="542"/>
      <c r="Y37" s="542"/>
      <c r="Z37" s="542"/>
      <c r="AA37" s="542"/>
      <c r="AB37" s="542"/>
      <c r="AC37" s="50"/>
      <c r="AD37" s="542" t="str">
        <f>IF(TITLE_NUMBER_PR_CHANGE="",IF(TITLE_NUMBER_PR="","",TITLE_NUMBER_PR),TITLE_NUMBER_PR_CHANGE)</f>
        <v/>
      </c>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0"/>
      <c r="BB37" s="50"/>
      <c r="BC37" s="543"/>
      <c r="BD37" s="128"/>
      <c r="BE37" s="128"/>
      <c r="BF37" s="128"/>
      <c r="BG37" s="128"/>
      <c r="BH37" s="128"/>
    </row>
    <row r="38" s="185" customFormat="1" ht="0" customHeight="1">
      <c r="A38" s="150"/>
      <c r="B38" s="150"/>
      <c r="C38" s="150"/>
      <c r="D38" s="150"/>
      <c r="E38" s="150"/>
      <c r="F38" s="150"/>
      <c r="G38" s="150"/>
      <c r="H38" s="150"/>
      <c r="I38" s="150"/>
      <c r="J38" s="150"/>
      <c r="K38" s="150"/>
      <c r="L38" s="480"/>
      <c r="M38" s="150"/>
      <c r="N38" s="150"/>
      <c r="O38" s="150"/>
      <c r="P38" s="150"/>
      <c r="Q38" s="150"/>
      <c r="S38" s="50"/>
      <c r="T38" s="50"/>
      <c r="U38" s="139"/>
      <c r="V38" s="50"/>
      <c r="W38" s="50"/>
      <c r="X38" s="50"/>
      <c r="Y38" s="50"/>
      <c r="Z38" s="50"/>
      <c r="AA38" s="50"/>
      <c r="AB38" s="50"/>
      <c r="AC38" s="57" t="s">
        <v>417</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417</v>
      </c>
      <c r="BD38" s="128"/>
      <c r="BE38" s="128"/>
      <c r="BF38" s="128"/>
      <c r="BG38" s="128"/>
      <c r="BH38" s="128"/>
    </row>
    <row r="39" ht="14.25" customHeight="1">
      <c r="Q39" s="642"/>
      <c r="R39" s="537"/>
      <c r="S39" s="538"/>
      <c r="T39" s="89"/>
      <c r="U39" s="545"/>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row>
    <row r="40" ht="14.25" customHeight="1">
      <c r="Q40" s="642"/>
      <c r="R40" s="537"/>
      <c r="S40" s="156" t="s">
        <v>288</v>
      </c>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t="s">
        <v>289</v>
      </c>
    </row>
    <row r="41" ht="14.25" customHeight="1">
      <c r="Q41" s="642"/>
      <c r="R41" s="537"/>
      <c r="S41" s="483" t="s">
        <v>85</v>
      </c>
      <c r="T41" s="347" t="s">
        <v>495</v>
      </c>
      <c r="U41" s="547"/>
      <c r="V41" s="548" t="s">
        <v>419</v>
      </c>
      <c r="W41" s="549"/>
      <c r="X41" s="549"/>
      <c r="Y41" s="549"/>
      <c r="Z41" s="549"/>
      <c r="AA41" s="549"/>
      <c r="AB41" s="550"/>
      <c r="AC41" s="551" t="s">
        <v>420</v>
      </c>
      <c r="AD41" s="644" t="s">
        <v>496</v>
      </c>
      <c r="AE41" s="574"/>
      <c r="AF41" s="574"/>
      <c r="AG41" s="645"/>
      <c r="AH41" s="644" t="s">
        <v>497</v>
      </c>
      <c r="AI41" s="574"/>
      <c r="AJ41" s="574"/>
      <c r="AK41" s="645"/>
      <c r="AL41" s="644" t="s">
        <v>498</v>
      </c>
      <c r="AM41" s="574"/>
      <c r="AN41" s="574"/>
      <c r="AO41" s="645"/>
      <c r="AP41" s="644" t="s">
        <v>499</v>
      </c>
      <c r="AQ41" s="574"/>
      <c r="AR41" s="574"/>
      <c r="AS41" s="645"/>
      <c r="AT41" s="548" t="s">
        <v>419</v>
      </c>
      <c r="AU41" s="549"/>
      <c r="AV41" s="549"/>
      <c r="AW41" s="549"/>
      <c r="AX41" s="549"/>
      <c r="AY41" s="549"/>
      <c r="AZ41" s="550"/>
      <c r="BA41" s="551" t="s">
        <v>420</v>
      </c>
      <c r="BB41" s="552" t="s">
        <v>422</v>
      </c>
      <c r="BC41" s="156"/>
    </row>
    <row r="42" ht="33.75" customHeight="1">
      <c r="Q42" s="642"/>
      <c r="R42" s="537"/>
      <c r="S42" s="483"/>
      <c r="T42" s="347"/>
      <c r="U42" s="553"/>
      <c r="V42" s="303" t="s">
        <v>500</v>
      </c>
      <c r="W42" s="304"/>
      <c r="X42" s="303" t="s">
        <v>501</v>
      </c>
      <c r="Y42" s="304"/>
      <c r="Z42" s="303" t="s">
        <v>502</v>
      </c>
      <c r="AA42" s="607"/>
      <c r="AB42" s="304"/>
      <c r="AC42" s="555"/>
      <c r="AD42" s="647"/>
      <c r="AE42" s="648"/>
      <c r="AF42" s="648"/>
      <c r="AG42" s="649"/>
      <c r="AH42" s="647"/>
      <c r="AI42" s="648"/>
      <c r="AJ42" s="648"/>
      <c r="AK42" s="649"/>
      <c r="AL42" s="647"/>
      <c r="AM42" s="648"/>
      <c r="AN42" s="648"/>
      <c r="AO42" s="649"/>
      <c r="AP42" s="647"/>
      <c r="AQ42" s="648"/>
      <c r="AR42" s="648"/>
      <c r="AS42" s="649"/>
      <c r="AT42" s="303" t="s">
        <v>500</v>
      </c>
      <c r="AU42" s="304"/>
      <c r="AV42" s="303" t="s">
        <v>501</v>
      </c>
      <c r="AW42" s="304"/>
      <c r="AX42" s="303" t="s">
        <v>502</v>
      </c>
      <c r="AY42" s="607"/>
      <c r="AZ42" s="304"/>
      <c r="BA42" s="555"/>
      <c r="BB42" s="556"/>
      <c r="BC42" s="156"/>
    </row>
    <row r="43" ht="14.25" customHeight="1">
      <c r="Q43" s="642"/>
      <c r="R43" s="537"/>
      <c r="S43" s="483"/>
      <c r="T43" s="347"/>
      <c r="U43" s="553"/>
      <c r="V43" s="309"/>
      <c r="W43" s="310"/>
      <c r="X43" s="309"/>
      <c r="Y43" s="310"/>
      <c r="Z43" s="309"/>
      <c r="AA43" s="608"/>
      <c r="AB43" s="310"/>
      <c r="AC43" s="555"/>
      <c r="AD43" s="647"/>
      <c r="AE43" s="648"/>
      <c r="AF43" s="648"/>
      <c r="AG43" s="649"/>
      <c r="AH43" s="647"/>
      <c r="AI43" s="648"/>
      <c r="AJ43" s="648"/>
      <c r="AK43" s="649"/>
      <c r="AL43" s="647"/>
      <c r="AM43" s="648"/>
      <c r="AN43" s="648"/>
      <c r="AO43" s="649"/>
      <c r="AP43" s="647"/>
      <c r="AQ43" s="648"/>
      <c r="AR43" s="648"/>
      <c r="AS43" s="649"/>
      <c r="AT43" s="309"/>
      <c r="AU43" s="310"/>
      <c r="AV43" s="309"/>
      <c r="AW43" s="310"/>
      <c r="AX43" s="309"/>
      <c r="AY43" s="608"/>
      <c r="AZ43" s="310"/>
      <c r="BA43" s="555"/>
      <c r="BB43" s="556"/>
      <c r="BC43" s="156"/>
    </row>
    <row r="44" ht="14.25" customHeight="1">
      <c r="A44" s="150"/>
      <c r="B44" s="150" t="s">
        <v>137</v>
      </c>
      <c r="C44" s="150" t="s">
        <v>138</v>
      </c>
      <c r="D44" s="150" t="s">
        <v>139</v>
      </c>
      <c r="E44" s="480" t="s">
        <v>427</v>
      </c>
      <c r="F44" s="480" t="s">
        <v>428</v>
      </c>
      <c r="G44" s="480" t="s">
        <v>429</v>
      </c>
      <c r="H44" s="480" t="s">
        <v>430</v>
      </c>
      <c r="I44" s="480" t="s">
        <v>431</v>
      </c>
      <c r="J44" s="480" t="s">
        <v>432</v>
      </c>
      <c r="K44" s="480" t="s">
        <v>433</v>
      </c>
      <c r="L44" s="480" t="s">
        <v>408</v>
      </c>
      <c r="Q44" s="642"/>
      <c r="R44" s="537"/>
      <c r="S44" s="483"/>
      <c r="T44" s="347"/>
      <c r="U44" s="557"/>
      <c r="V44" s="347" t="s">
        <v>468</v>
      </c>
      <c r="W44" s="347" t="s">
        <v>469</v>
      </c>
      <c r="X44" s="347" t="s">
        <v>468</v>
      </c>
      <c r="Y44" s="347" t="s">
        <v>469</v>
      </c>
      <c r="Z44" s="247" t="s">
        <v>436</v>
      </c>
      <c r="AA44" s="414" t="s">
        <v>437</v>
      </c>
      <c r="AB44" s="416"/>
      <c r="AC44" s="559"/>
      <c r="AD44" s="652"/>
      <c r="AE44" s="653"/>
      <c r="AF44" s="653"/>
      <c r="AG44" s="654"/>
      <c r="AH44" s="652"/>
      <c r="AI44" s="653"/>
      <c r="AJ44" s="653"/>
      <c r="AK44" s="654"/>
      <c r="AL44" s="652"/>
      <c r="AM44" s="653"/>
      <c r="AN44" s="653"/>
      <c r="AO44" s="654"/>
      <c r="AP44" s="652"/>
      <c r="AQ44" s="653"/>
      <c r="AR44" s="653"/>
      <c r="AS44" s="654"/>
      <c r="AT44" s="347" t="s">
        <v>468</v>
      </c>
      <c r="AU44" s="347" t="s">
        <v>469</v>
      </c>
      <c r="AV44" s="347" t="s">
        <v>468</v>
      </c>
      <c r="AW44" s="347" t="s">
        <v>469</v>
      </c>
      <c r="AX44" s="247" t="s">
        <v>436</v>
      </c>
      <c r="AY44" s="414" t="s">
        <v>437</v>
      </c>
      <c r="AZ44" s="416"/>
      <c r="BA44" s="559"/>
      <c r="BB44" s="560"/>
      <c r="BC44" s="156"/>
    </row>
    <row r="45" s="130" customFormat="1" ht="0" customHeight="1">
      <c r="A45" s="150"/>
      <c r="B45" s="150"/>
      <c r="C45" s="150"/>
      <c r="D45" s="150"/>
      <c r="E45" s="150"/>
      <c r="F45" s="150"/>
      <c r="G45" s="150"/>
      <c r="H45" s="150"/>
      <c r="I45" s="150"/>
      <c r="J45" s="150"/>
      <c r="K45" s="150"/>
      <c r="L45" s="480"/>
      <c r="M45" s="61"/>
      <c r="N45" s="61"/>
      <c r="O45" s="61"/>
      <c r="P45" s="586"/>
      <c r="Q45" s="563"/>
      <c r="R45" s="563">
        <v>1</v>
      </c>
      <c r="S45" s="564" t="s">
        <v>111</v>
      </c>
      <c r="T45" s="565" t="s">
        <v>99</v>
      </c>
      <c r="U45" s="566" t="str">
        <f ca="1">OFFSET(U45,0,-1)</f>
        <v>2</v>
      </c>
      <c r="V45" s="567">
        <f ca="1">OFFSET(V45,0,-1)+1</f>
        <v>3</v>
      </c>
      <c r="W45" s="567">
        <f ca="1">OFFSET(W45,0,-1)+1</f>
        <v>4</v>
      </c>
      <c r="X45" s="567">
        <f ca="1">OFFSET(X45,0,-1)+1</f>
        <v>5</v>
      </c>
      <c r="Y45" s="567">
        <f ca="1">OFFSET(Y45,0,-1)+1</f>
        <v>6</v>
      </c>
      <c r="Z45" s="567">
        <f ca="1">OFFSET(Z45,0,-1)+1</f>
        <v>7</v>
      </c>
      <c r="AA45" s="567">
        <f ca="1">OFFSET(AA45,0,-1)+1</f>
        <v>8</v>
      </c>
      <c r="AB45" s="567"/>
      <c r="AC45" s="567">
        <f ca="1">OFFSET(AC45,0,-2)+1</f>
        <v>9</v>
      </c>
      <c r="AD45" s="567">
        <f ca="1">OFFSET(AD45,0,-1)+1</f>
        <v>10</v>
      </c>
      <c r="AE45" s="567"/>
      <c r="AF45" s="567"/>
      <c r="AG45" s="567"/>
      <c r="AH45" s="567"/>
      <c r="AI45" s="567"/>
      <c r="AJ45" s="567"/>
      <c r="AK45" s="567"/>
      <c r="AL45" s="567"/>
      <c r="AM45" s="567"/>
      <c r="AN45" s="567"/>
      <c r="AO45" s="567"/>
      <c r="AP45" s="567"/>
      <c r="AQ45" s="567"/>
      <c r="AR45" s="567"/>
      <c r="AS45" s="567"/>
      <c r="AT45" s="567"/>
      <c r="AU45" s="567"/>
      <c r="AV45" s="567"/>
      <c r="AW45" s="567">
        <f ca="1">OFFSET(AW45,0,-1)+1</f>
        <v>1</v>
      </c>
      <c r="AX45" s="567">
        <f ca="1">OFFSET(AX45,0,-1)+1</f>
        <v>2</v>
      </c>
      <c r="AY45" s="567">
        <f ca="1">OFFSET(AY45,0,-1)+1</f>
        <v>3</v>
      </c>
      <c r="AZ45" s="567"/>
      <c r="BA45" s="567">
        <f ca="1">OFFSET(BA45,0,-2)+1</f>
        <v>4</v>
      </c>
      <c r="BB45" s="566">
        <f ca="1">OFFSET(BB45,0,-1)</f>
        <v>4</v>
      </c>
      <c r="BC45" s="567">
        <f ca="1">OFFSET(BC45,0,-1)+1</f>
        <v>5</v>
      </c>
      <c r="BD45" s="57"/>
      <c r="BE45" s="57"/>
      <c r="BF45" s="57"/>
      <c r="BG45" s="57"/>
      <c r="BH45" s="57"/>
    </row>
    <row r="46" ht="21" customHeight="1">
      <c r="A46" s="478" t="s">
        <v>249</v>
      </c>
      <c r="B46" s="478"/>
      <c r="C46" s="478"/>
      <c r="D46" s="478"/>
      <c r="E46" s="479">
        <v>1</v>
      </c>
      <c r="F46" s="478"/>
      <c r="G46" s="478"/>
      <c r="H46" s="478"/>
      <c r="I46" s="478"/>
      <c r="J46" s="478"/>
      <c r="K46" s="478"/>
      <c r="L46" s="480"/>
      <c r="M46" s="481"/>
      <c r="N46" s="481"/>
      <c r="O46" s="481"/>
      <c r="P46" s="61"/>
      <c r="Q46" s="64"/>
      <c r="R46" s="482"/>
      <c r="S46" s="483">
        <f>INDEX(PT_DIFFERENTIATION_NUM_NTAR,MATCH(A46,PT_DIFFERENTIATION_NTAR_ID,0))</f>
        <v>0</v>
      </c>
      <c r="T46" s="484" t="s">
        <v>125</v>
      </c>
      <c r="U46" s="485"/>
      <c r="V46" s="487"/>
      <c r="W46" s="487"/>
      <c r="X46" s="487"/>
      <c r="Y46" s="487"/>
      <c r="Z46" s="487"/>
      <c r="AA46" s="487"/>
      <c r="AB46" s="487"/>
      <c r="AC46" s="488"/>
      <c r="AD46" s="486" t="str">
        <f>INDEX(PT_DIFFERENTIATION_NTAR,MATCH(A46,PT_DIFFERENTIATION_NTAR_ID,0))</f>
        <v/>
      </c>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8"/>
      <c r="BC46" s="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8"/>
      <c r="BF46" s="128" t="str">
        <f t="shared" si="41"/>
        <v xml:space="preserve">Наименование тарифа</v>
      </c>
      <c r="BG46" s="128"/>
      <c r="BH46" s="128"/>
    </row>
    <row r="47" ht="21" customHeight="1">
      <c r="A47" s="478" t="s">
        <v>249</v>
      </c>
      <c r="B47" s="478" t="s">
        <v>250</v>
      </c>
      <c r="C47" s="478"/>
      <c r="D47" s="478"/>
      <c r="E47" s="490"/>
      <c r="F47" s="479">
        <v>1</v>
      </c>
      <c r="G47" s="478"/>
      <c r="H47" s="478"/>
      <c r="I47" s="478"/>
      <c r="J47" s="478"/>
      <c r="K47" s="478"/>
      <c r="L47" s="480"/>
      <c r="M47" s="481"/>
      <c r="N47" s="481"/>
      <c r="O47" s="481"/>
      <c r="P47" s="113"/>
      <c r="Q47" s="610"/>
      <c r="R47" s="492"/>
      <c r="S47" s="483" t="str">
        <f>INDEX(PT_DIFFERENTIATION_NUM_TER,MATCH(B47,PT_DIFFERENTIATION_TER_ID,0))</f>
        <v>.</v>
      </c>
      <c r="T47" s="493" t="s">
        <v>387</v>
      </c>
      <c r="U47" s="485"/>
      <c r="V47" s="487"/>
      <c r="W47" s="487"/>
      <c r="X47" s="487"/>
      <c r="Y47" s="487"/>
      <c r="Z47" s="487"/>
      <c r="AA47" s="487"/>
      <c r="AB47" s="487"/>
      <c r="AC47" s="488"/>
      <c r="AD47" s="486" t="str">
        <f>INDEX(PT_DIFFERENTIATION_TER,MATCH(B47,PT_DIFFERENTIATION_TER_ID,0))</f>
        <v/>
      </c>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8"/>
      <c r="BC47" s="489" t="s">
        <v>388</v>
      </c>
      <c r="BE47" s="128"/>
      <c r="BF47" s="128" t="str">
        <f t="shared" si="41"/>
        <v xml:space="preserve">Территория действия тарифа</v>
      </c>
      <c r="BG47" s="128"/>
      <c r="BH47" s="128"/>
    </row>
    <row r="48" ht="33.75" customHeight="1">
      <c r="A48" s="478" t="s">
        <v>249</v>
      </c>
      <c r="B48" s="478" t="s">
        <v>250</v>
      </c>
      <c r="C48" s="478" t="s">
        <v>251</v>
      </c>
      <c r="D48" s="478"/>
      <c r="E48" s="490"/>
      <c r="F48" s="490"/>
      <c r="G48" s="479">
        <v>1</v>
      </c>
      <c r="H48" s="478"/>
      <c r="I48" s="478"/>
      <c r="J48" s="478"/>
      <c r="K48" s="478"/>
      <c r="L48" s="480"/>
      <c r="M48" s="481"/>
      <c r="N48" s="481"/>
      <c r="O48" s="481"/>
      <c r="P48" s="134"/>
      <c r="Q48" s="610"/>
      <c r="R48" s="492"/>
      <c r="S48" s="483" t="str">
        <f>INDEX(PT_DIFFERENTIATION_NUM_CS,MATCH(C48,PT_DIFFERENTIATION_CS_ID,0))</f>
        <v>..</v>
      </c>
      <c r="T48" s="495" t="s">
        <v>518</v>
      </c>
      <c r="U48" s="485"/>
      <c r="V48" s="487"/>
      <c r="W48" s="487"/>
      <c r="X48" s="487"/>
      <c r="Y48" s="487"/>
      <c r="Z48" s="487"/>
      <c r="AA48" s="487"/>
      <c r="AB48" s="487"/>
      <c r="AC48" s="488"/>
      <c r="AD48" s="486" t="str">
        <f>INDEX(PT_DIFFERENTIATION_CS,MATCH(C48,PT_DIFFERENTIATION_CS_ID,0))</f>
        <v/>
      </c>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8"/>
      <c r="BC48" s="489" t="s">
        <v>519</v>
      </c>
      <c r="BE48" s="128"/>
      <c r="BF48" s="128" t="str">
        <f t="shared" si="41"/>
        <v xml:space="preserve">Наименование централизованной системы горячего водоснабжения</v>
      </c>
      <c r="BG48" s="128"/>
      <c r="BH48" s="128"/>
    </row>
    <row r="49" s="57" customFormat="1" ht="0" customHeight="1">
      <c r="A49" s="132" t="s">
        <v>249</v>
      </c>
      <c r="B49" s="132" t="s">
        <v>250</v>
      </c>
      <c r="C49" s="132" t="s">
        <v>251</v>
      </c>
      <c r="D49" s="132" t="s">
        <v>526</v>
      </c>
      <c r="E49" s="490"/>
      <c r="F49" s="490"/>
      <c r="G49" s="490"/>
      <c r="H49" s="479">
        <v>1</v>
      </c>
      <c r="I49" s="132"/>
      <c r="J49" s="132"/>
      <c r="K49" s="132"/>
      <c r="L49" s="213"/>
      <c r="M49" s="463"/>
      <c r="N49" s="463"/>
      <c r="O49" s="463"/>
      <c r="P49" s="671"/>
      <c r="Q49" s="672"/>
      <c r="R49" s="502"/>
      <c r="S49" s="351"/>
      <c r="T49" s="673"/>
      <c r="U49" s="577"/>
      <c r="V49" s="579"/>
      <c r="W49" s="579"/>
      <c r="X49" s="579"/>
      <c r="Y49" s="579"/>
      <c r="Z49" s="579"/>
      <c r="AA49" s="579"/>
      <c r="AB49" s="579"/>
      <c r="AC49" s="580"/>
      <c r="AD49" s="578"/>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80"/>
      <c r="BC49" s="581" t="s">
        <v>392</v>
      </c>
      <c r="BE49" s="128"/>
      <c r="BF49" s="128" t="str">
        <f t="shared" si="41"/>
        <v/>
      </c>
      <c r="BG49" s="128"/>
      <c r="BH49" s="128"/>
    </row>
    <row r="50" s="57" customFormat="1" ht="0" customHeight="1">
      <c r="A50" s="132" t="s">
        <v>249</v>
      </c>
      <c r="B50" s="132" t="s">
        <v>250</v>
      </c>
      <c r="C50" s="132" t="s">
        <v>251</v>
      </c>
      <c r="D50" s="132" t="s">
        <v>526</v>
      </c>
      <c r="E50" s="490"/>
      <c r="F50" s="490"/>
      <c r="G50" s="490"/>
      <c r="H50" s="490"/>
      <c r="I50" s="167" t="str">
        <f>S49&amp;".1"</f>
        <v>.1</v>
      </c>
      <c r="J50" s="132"/>
      <c r="K50" s="132"/>
      <c r="L50" s="213" t="s">
        <v>393</v>
      </c>
      <c r="M50" s="586"/>
      <c r="N50" s="586"/>
      <c r="O50" s="586"/>
      <c r="P50" s="131">
        <v>1</v>
      </c>
      <c r="Q50" s="131"/>
      <c r="R50" s="497"/>
      <c r="S50" s="351"/>
      <c r="T50" s="576"/>
      <c r="U50" s="577"/>
      <c r="V50" s="579"/>
      <c r="W50" s="579"/>
      <c r="X50" s="579"/>
      <c r="Y50" s="579"/>
      <c r="Z50" s="579"/>
      <c r="AA50" s="579"/>
      <c r="AB50" s="579"/>
      <c r="AC50" s="580"/>
      <c r="AD50" s="578"/>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80"/>
      <c r="BC50" s="581"/>
      <c r="BE50" s="128"/>
      <c r="BF50" s="128" t="str">
        <f t="shared" si="41"/>
        <v/>
      </c>
      <c r="BG50" s="128"/>
      <c r="BH50" s="128"/>
    </row>
    <row r="51" s="57" customFormat="1" ht="0" customHeight="1">
      <c r="A51" s="132" t="s">
        <v>249</v>
      </c>
      <c r="B51" s="132" t="s">
        <v>250</v>
      </c>
      <c r="C51" s="132" t="s">
        <v>251</v>
      </c>
      <c r="D51" s="132" t="s">
        <v>526</v>
      </c>
      <c r="E51" s="490"/>
      <c r="F51" s="490"/>
      <c r="G51" s="490"/>
      <c r="H51" s="490"/>
      <c r="I51" s="501"/>
      <c r="J51" s="167" t="str">
        <f>S49&amp;".1"</f>
        <v>.1</v>
      </c>
      <c r="K51" s="132"/>
      <c r="L51" s="213"/>
      <c r="M51" s="586"/>
      <c r="N51" s="586"/>
      <c r="O51" s="586"/>
      <c r="P51" s="131"/>
      <c r="Q51" s="131">
        <v>1</v>
      </c>
      <c r="R51" s="502"/>
      <c r="S51" s="351"/>
      <c r="T51" s="611"/>
      <c r="U51" s="577"/>
      <c r="V51" s="579"/>
      <c r="W51" s="579"/>
      <c r="X51" s="579"/>
      <c r="Y51" s="579"/>
      <c r="Z51" s="579"/>
      <c r="AA51" s="579"/>
      <c r="AB51" s="579"/>
      <c r="AC51" s="580"/>
      <c r="AD51" s="578"/>
      <c r="AE51" s="579"/>
      <c r="AF51" s="579"/>
      <c r="AG51" s="579"/>
      <c r="AH51" s="579"/>
      <c r="AI51" s="579"/>
      <c r="AJ51" s="579"/>
      <c r="AK51" s="579"/>
      <c r="AL51" s="579"/>
      <c r="AM51" s="579"/>
      <c r="AN51" s="683"/>
      <c r="AO51" s="683"/>
      <c r="AP51" s="579"/>
      <c r="AQ51" s="579"/>
      <c r="AR51" s="579"/>
      <c r="AS51" s="579"/>
      <c r="AT51" s="579"/>
      <c r="AU51" s="579"/>
      <c r="AV51" s="579"/>
      <c r="AW51" s="579"/>
      <c r="AX51" s="579"/>
      <c r="AY51" s="579"/>
      <c r="AZ51" s="579"/>
      <c r="BA51" s="579"/>
      <c r="BB51" s="580"/>
      <c r="BC51" s="581"/>
      <c r="BE51" s="128"/>
      <c r="BF51" s="128" t="str">
        <f t="shared" si="41"/>
        <v/>
      </c>
      <c r="BG51" s="128"/>
      <c r="BH51" s="128"/>
    </row>
    <row r="52" ht="11.25" customHeight="1">
      <c r="A52" s="478" t="s">
        <v>249</v>
      </c>
      <c r="B52" s="478" t="s">
        <v>250</v>
      </c>
      <c r="C52" s="478" t="s">
        <v>251</v>
      </c>
      <c r="D52" s="478" t="s">
        <v>526</v>
      </c>
      <c r="E52" s="490"/>
      <c r="F52" s="490"/>
      <c r="G52" s="490"/>
      <c r="H52" s="490"/>
      <c r="I52" s="501"/>
      <c r="J52" s="501"/>
      <c r="K52" s="167" t="str">
        <f>S48&amp;".1"</f>
        <v>...1</v>
      </c>
      <c r="L52" s="480"/>
      <c r="P52" s="131"/>
      <c r="Q52" s="131"/>
      <c r="R52" s="502">
        <v>1</v>
      </c>
      <c r="S52" s="613" t="str">
        <f>$K52</f>
        <v>...1</v>
      </c>
      <c r="T52" s="674"/>
      <c r="U52" s="485"/>
      <c r="V52" s="505"/>
      <c r="W52" s="507"/>
      <c r="X52" s="505"/>
      <c r="Y52" s="507"/>
      <c r="Z52" s="508"/>
      <c r="AA52" s="225" t="s">
        <v>56</v>
      </c>
      <c r="AB52" s="508"/>
      <c r="AC52" s="225" t="s">
        <v>56</v>
      </c>
      <c r="AD52" s="313" t="s">
        <v>56</v>
      </c>
      <c r="AE52" s="615"/>
      <c r="AF52" s="345">
        <v>1</v>
      </c>
      <c r="AG52" s="675"/>
      <c r="AH52" s="225" t="s">
        <v>56</v>
      </c>
      <c r="AI52" s="615"/>
      <c r="AJ52" s="345">
        <v>1</v>
      </c>
      <c r="AK52" s="676" t="s">
        <v>18</v>
      </c>
      <c r="AL52" s="225" t="s">
        <v>56</v>
      </c>
      <c r="AM52" s="303"/>
      <c r="AN52" s="345">
        <v>1</v>
      </c>
      <c r="AO52" s="677"/>
      <c r="AP52" s="678" t="s">
        <v>56</v>
      </c>
      <c r="AQ52" s="616"/>
      <c r="AR52" s="345">
        <v>1</v>
      </c>
      <c r="AS52" s="93" t="s">
        <v>18</v>
      </c>
      <c r="AT52" s="505"/>
      <c r="AU52" s="507"/>
      <c r="AV52" s="505"/>
      <c r="AW52" s="507"/>
      <c r="AX52" s="508"/>
      <c r="AY52" s="225" t="s">
        <v>56</v>
      </c>
      <c r="AZ52" s="508"/>
      <c r="BA52" s="225" t="s">
        <v>56</v>
      </c>
      <c r="BB52" s="569"/>
      <c r="BC52" s="509" t="s">
        <v>489</v>
      </c>
      <c r="BE52" s="128"/>
      <c r="BF52" s="128" t="str">
        <f t="shared" si="41"/>
        <v/>
      </c>
      <c r="BG52" s="128"/>
      <c r="BH52" s="128"/>
    </row>
    <row r="53" ht="11.25" customHeight="1">
      <c r="A53" s="478"/>
      <c r="B53" s="478"/>
      <c r="C53" s="478"/>
      <c r="D53" s="478"/>
      <c r="E53" s="490"/>
      <c r="F53" s="490"/>
      <c r="G53" s="490"/>
      <c r="H53" s="490"/>
      <c r="I53" s="501"/>
      <c r="J53" s="501"/>
      <c r="K53" s="167"/>
      <c r="L53" s="480"/>
      <c r="P53" s="131"/>
      <c r="Q53" s="131"/>
      <c r="R53" s="502"/>
      <c r="S53" s="617"/>
      <c r="T53" s="679"/>
      <c r="U53" s="485"/>
      <c r="V53" s="598"/>
      <c r="W53" s="621"/>
      <c r="X53" s="598"/>
      <c r="Y53" s="621"/>
      <c r="Z53" s="598"/>
      <c r="AA53" s="598"/>
      <c r="AB53" s="598"/>
      <c r="AC53" s="598"/>
      <c r="AD53" s="319"/>
      <c r="AE53" s="615"/>
      <c r="AF53" s="345"/>
      <c r="AG53" s="675"/>
      <c r="AH53" s="225"/>
      <c r="AI53" s="615"/>
      <c r="AJ53" s="345"/>
      <c r="AK53" s="676"/>
      <c r="AL53" s="225"/>
      <c r="AM53" s="309"/>
      <c r="AN53" s="345"/>
      <c r="AO53" s="677"/>
      <c r="AP53" s="680"/>
      <c r="AQ53" s="620"/>
      <c r="AR53" s="179"/>
      <c r="AS53" s="179" t="s">
        <v>490</v>
      </c>
      <c r="AT53" s="598"/>
      <c r="AU53" s="621"/>
      <c r="AV53" s="598"/>
      <c r="AW53" s="621"/>
      <c r="AX53" s="598"/>
      <c r="AY53" s="598"/>
      <c r="AZ53" s="598"/>
      <c r="BA53" s="598"/>
      <c r="BB53" s="619"/>
      <c r="BC53" s="512"/>
      <c r="BE53" s="128"/>
      <c r="BF53" s="128"/>
      <c r="BG53" s="128"/>
      <c r="BH53" s="128"/>
    </row>
    <row r="54" ht="11.25" customHeight="1">
      <c r="A54" s="478" t="s">
        <v>249</v>
      </c>
      <c r="B54" s="478"/>
      <c r="C54" s="478"/>
      <c r="D54" s="478"/>
      <c r="E54" s="490"/>
      <c r="F54" s="490"/>
      <c r="G54" s="490"/>
      <c r="H54" s="490"/>
      <c r="I54" s="501"/>
      <c r="J54" s="501"/>
      <c r="K54" s="167"/>
      <c r="L54" s="480"/>
      <c r="P54" s="131"/>
      <c r="Q54" s="131"/>
      <c r="R54" s="502"/>
      <c r="S54" s="617"/>
      <c r="T54" s="679"/>
      <c r="U54" s="485"/>
      <c r="V54" s="598"/>
      <c r="W54" s="621"/>
      <c r="X54" s="598"/>
      <c r="Y54" s="621"/>
      <c r="Z54" s="598"/>
      <c r="AA54" s="598"/>
      <c r="AB54" s="598"/>
      <c r="AC54" s="598"/>
      <c r="AD54" s="319"/>
      <c r="AE54" s="615"/>
      <c r="AF54" s="345"/>
      <c r="AG54" s="675"/>
      <c r="AH54" s="225"/>
      <c r="AI54" s="615"/>
      <c r="AJ54" s="345"/>
      <c r="AK54" s="676"/>
      <c r="AL54" s="225"/>
      <c r="AM54" s="620"/>
      <c r="AN54" s="681"/>
      <c r="AO54" s="681" t="s">
        <v>491</v>
      </c>
      <c r="AP54" s="179"/>
      <c r="AQ54" s="179"/>
      <c r="AR54" s="179"/>
      <c r="AS54" s="598"/>
      <c r="AT54" s="598"/>
      <c r="AU54" s="621"/>
      <c r="AV54" s="598"/>
      <c r="AW54" s="621"/>
      <c r="AX54" s="598"/>
      <c r="AY54" s="598"/>
      <c r="AZ54" s="598"/>
      <c r="BA54" s="598"/>
      <c r="BB54" s="619"/>
      <c r="BC54" s="512"/>
      <c r="BE54" s="128"/>
      <c r="BF54" s="128"/>
      <c r="BG54" s="128"/>
      <c r="BH54" s="128"/>
    </row>
    <row r="55" ht="11.25" customHeight="1">
      <c r="A55" s="478" t="s">
        <v>249</v>
      </c>
      <c r="B55" s="478"/>
      <c r="C55" s="478"/>
      <c r="D55" s="478"/>
      <c r="E55" s="490"/>
      <c r="F55" s="490"/>
      <c r="G55" s="490"/>
      <c r="H55" s="490"/>
      <c r="I55" s="501"/>
      <c r="J55" s="501"/>
      <c r="K55" s="167"/>
      <c r="L55" s="480"/>
      <c r="P55" s="131"/>
      <c r="Q55" s="131"/>
      <c r="R55" s="502"/>
      <c r="S55" s="617"/>
      <c r="T55" s="679"/>
      <c r="U55" s="485"/>
      <c r="V55" s="598"/>
      <c r="W55" s="621"/>
      <c r="X55" s="598"/>
      <c r="Y55" s="621"/>
      <c r="Z55" s="598"/>
      <c r="AA55" s="598"/>
      <c r="AB55" s="598"/>
      <c r="AC55" s="598"/>
      <c r="AD55" s="319"/>
      <c r="AE55" s="615"/>
      <c r="AF55" s="345"/>
      <c r="AG55" s="675"/>
      <c r="AH55" s="225"/>
      <c r="AI55" s="623"/>
      <c r="AJ55" s="174"/>
      <c r="AK55" s="440" t="s">
        <v>492</v>
      </c>
      <c r="AL55" s="598"/>
      <c r="AM55" s="598"/>
      <c r="AN55" s="598"/>
      <c r="AO55" s="598"/>
      <c r="AP55" s="598"/>
      <c r="AQ55" s="598"/>
      <c r="AR55" s="598"/>
      <c r="AS55" s="598"/>
      <c r="AT55" s="598"/>
      <c r="AU55" s="621"/>
      <c r="AV55" s="598"/>
      <c r="AW55" s="621"/>
      <c r="AX55" s="598"/>
      <c r="AY55" s="598"/>
      <c r="AZ55" s="598"/>
      <c r="BA55" s="598"/>
      <c r="BB55" s="619"/>
      <c r="BC55" s="512"/>
      <c r="BE55" s="128"/>
      <c r="BF55" s="128"/>
      <c r="BG55" s="128"/>
      <c r="BH55" s="128"/>
    </row>
    <row r="56" ht="11.25" customHeight="1">
      <c r="A56" s="478" t="s">
        <v>249</v>
      </c>
      <c r="B56" s="478" t="s">
        <v>250</v>
      </c>
      <c r="C56" s="478" t="s">
        <v>251</v>
      </c>
      <c r="D56" s="478" t="s">
        <v>526</v>
      </c>
      <c r="E56" s="490"/>
      <c r="F56" s="490"/>
      <c r="G56" s="490"/>
      <c r="H56" s="490"/>
      <c r="I56" s="501"/>
      <c r="J56" s="501"/>
      <c r="K56" s="167"/>
      <c r="L56" s="480"/>
      <c r="P56" s="131"/>
      <c r="Q56" s="131"/>
      <c r="R56" s="502"/>
      <c r="S56" s="624"/>
      <c r="T56" s="682"/>
      <c r="U56" s="485"/>
      <c r="V56" s="598"/>
      <c r="W56" s="599" t="str">
        <f>Z52&amp;"-"&amp;AB52</f>
        <v>-</v>
      </c>
      <c r="X56" s="598"/>
      <c r="Y56" s="599" t="str">
        <f>AB52&amp;"-"&amp;AD52</f>
        <v>-да</v>
      </c>
      <c r="Z56" s="598"/>
      <c r="AA56" s="598"/>
      <c r="AB56" s="598"/>
      <c r="AC56" s="598"/>
      <c r="AD56" s="221"/>
      <c r="AE56" s="627"/>
      <c r="AF56" s="628"/>
      <c r="AG56" s="179" t="s">
        <v>493</v>
      </c>
      <c r="AH56" s="598"/>
      <c r="AI56" s="598"/>
      <c r="AJ56" s="598"/>
      <c r="AK56" s="598"/>
      <c r="AL56" s="598"/>
      <c r="AM56" s="598"/>
      <c r="AN56" s="598"/>
      <c r="AO56" s="598"/>
      <c r="AP56" s="598"/>
      <c r="AQ56" s="598"/>
      <c r="AR56" s="598"/>
      <c r="AS56" s="598"/>
      <c r="AT56" s="598"/>
      <c r="AU56" s="599" t="str">
        <f>AX52&amp;"-"&amp;AZ52</f>
        <v>-</v>
      </c>
      <c r="AV56" s="598"/>
      <c r="AW56" s="599" t="str">
        <f>AZ52&amp;"-"&amp;BB52</f>
        <v>-</v>
      </c>
      <c r="AX56" s="598"/>
      <c r="AY56" s="598"/>
      <c r="AZ56" s="598"/>
      <c r="BA56" s="598"/>
      <c r="BB56" s="626" t="str">
        <f>BE52&amp;"-"&amp;BG52</f>
        <v>-</v>
      </c>
      <c r="BC56" s="512"/>
      <c r="BE56" s="128"/>
      <c r="BF56" s="128" t="str">
        <f t="shared" si="41"/>
        <v/>
      </c>
      <c r="BG56" s="128"/>
      <c r="BH56" s="128"/>
    </row>
    <row r="57" ht="11.25" customHeight="1">
      <c r="A57" s="478" t="s">
        <v>249</v>
      </c>
      <c r="B57" s="478" t="s">
        <v>250</v>
      </c>
      <c r="C57" s="478" t="s">
        <v>251</v>
      </c>
      <c r="D57" s="478" t="s">
        <v>526</v>
      </c>
      <c r="E57" s="490"/>
      <c r="F57" s="490"/>
      <c r="G57" s="490"/>
      <c r="H57" s="490"/>
      <c r="I57" s="501"/>
      <c r="J57" s="167"/>
      <c r="K57" s="478"/>
      <c r="L57" s="480"/>
      <c r="P57" s="131"/>
      <c r="Q57" s="131"/>
      <c r="R57" s="497"/>
      <c r="S57" s="513"/>
      <c r="T57" s="517" t="s">
        <v>457</v>
      </c>
      <c r="U57" s="215"/>
      <c r="V57" s="215"/>
      <c r="W57" s="215"/>
      <c r="X57" s="215"/>
      <c r="Y57" s="215"/>
      <c r="Z57" s="215"/>
      <c r="AA57" s="215"/>
      <c r="AB57" s="215"/>
      <c r="AC57" s="515"/>
      <c r="AD57" s="656"/>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515"/>
      <c r="BC57" s="516"/>
      <c r="BE57" s="128"/>
      <c r="BF57" s="128" t="str">
        <f t="shared" si="41"/>
        <v xml:space="preserve">Добавить строку</v>
      </c>
      <c r="BG57" s="128"/>
      <c r="BH57" s="128"/>
    </row>
    <row r="58" s="57" customFormat="1" ht="0" customHeight="1">
      <c r="A58" s="132" t="s">
        <v>249</v>
      </c>
      <c r="B58" s="132" t="s">
        <v>250</v>
      </c>
      <c r="C58" s="132" t="s">
        <v>251</v>
      </c>
      <c r="D58" s="132" t="s">
        <v>526</v>
      </c>
      <c r="E58" s="490"/>
      <c r="F58" s="490"/>
      <c r="G58" s="490"/>
      <c r="H58" s="490"/>
      <c r="I58" s="167"/>
      <c r="J58" s="132"/>
      <c r="K58" s="132"/>
      <c r="L58" s="213"/>
      <c r="M58" s="586"/>
      <c r="N58" s="586"/>
      <c r="O58" s="586"/>
      <c r="P58" s="131"/>
      <c r="Q58" s="131"/>
      <c r="R58" s="497"/>
      <c r="S58" s="582"/>
      <c r="T58" s="583"/>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5"/>
      <c r="BE58" s="128"/>
      <c r="BF58" s="128" t="str">
        <f t="shared" si="41"/>
        <v/>
      </c>
      <c r="BG58" s="128"/>
      <c r="BH58" s="128"/>
    </row>
    <row r="59" s="57" customFormat="1" ht="0" customHeight="1">
      <c r="A59" s="132" t="s">
        <v>249</v>
      </c>
      <c r="B59" s="132" t="s">
        <v>250</v>
      </c>
      <c r="C59" s="132" t="s">
        <v>251</v>
      </c>
      <c r="D59" s="132" t="s">
        <v>526</v>
      </c>
      <c r="E59" s="490"/>
      <c r="F59" s="490"/>
      <c r="G59" s="490"/>
      <c r="H59" s="479"/>
      <c r="I59" s="132"/>
      <c r="J59" s="132"/>
      <c r="K59" s="132"/>
      <c r="L59" s="213"/>
      <c r="M59" s="463"/>
      <c r="N59" s="463"/>
      <c r="O59" s="57"/>
      <c r="P59" s="166"/>
      <c r="Q59" s="522"/>
      <c r="R59" s="629"/>
      <c r="S59" s="582"/>
      <c r="T59" s="583"/>
      <c r="U59" s="584"/>
      <c r="V59" s="584"/>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584"/>
      <c r="BA59" s="584"/>
      <c r="BB59" s="584"/>
      <c r="BC59" s="585"/>
      <c r="BE59" s="128"/>
      <c r="BF59" s="128" t="str">
        <f t="shared" si="41"/>
        <v/>
      </c>
      <c r="BG59" s="128"/>
      <c r="BH59" s="128"/>
    </row>
    <row r="60" s="57" customFormat="1" ht="0" customHeight="1">
      <c r="A60" s="132" t="s">
        <v>249</v>
      </c>
      <c r="B60" s="132" t="s">
        <v>250</v>
      </c>
      <c r="C60" s="132" t="s">
        <v>251</v>
      </c>
      <c r="D60" s="132"/>
      <c r="E60" s="490"/>
      <c r="F60" s="490"/>
      <c r="G60" s="479"/>
      <c r="H60" s="132"/>
      <c r="I60" s="132"/>
      <c r="J60" s="132"/>
      <c r="K60" s="132"/>
      <c r="L60" s="213"/>
      <c r="M60" s="463"/>
      <c r="N60" s="463"/>
      <c r="P60" s="166"/>
      <c r="Q60" s="522"/>
      <c r="R60" s="166"/>
      <c r="S60" s="527"/>
      <c r="T60" s="530"/>
      <c r="U60" s="529"/>
      <c r="V60" s="529"/>
      <c r="W60" s="529"/>
      <c r="X60" s="529"/>
      <c r="Y60" s="529"/>
      <c r="Z60" s="529"/>
      <c r="AA60" s="529"/>
      <c r="AB60" s="529"/>
      <c r="AC60" s="529"/>
      <c r="AD60" s="529"/>
      <c r="AE60" s="529"/>
      <c r="AF60" s="529"/>
      <c r="AG60" s="529"/>
      <c r="AH60" s="529"/>
      <c r="AI60" s="529"/>
      <c r="AJ60" s="529"/>
      <c r="AK60" s="529"/>
      <c r="AL60" s="529"/>
      <c r="AM60" s="529"/>
      <c r="AN60" s="529"/>
      <c r="AO60" s="529"/>
      <c r="AP60" s="529"/>
      <c r="AQ60" s="529"/>
      <c r="AR60" s="529"/>
      <c r="AS60" s="529"/>
      <c r="AT60" s="529"/>
      <c r="AU60" s="529"/>
      <c r="AV60" s="529"/>
      <c r="AW60" s="529"/>
      <c r="AX60" s="529"/>
      <c r="AY60" s="529"/>
      <c r="AZ60" s="529"/>
      <c r="BA60" s="529"/>
      <c r="BB60" s="529"/>
      <c r="BC60" s="529"/>
      <c r="BE60" s="128"/>
      <c r="BF60" s="128" t="str">
        <f t="shared" si="41"/>
        <v/>
      </c>
      <c r="BG60" s="128"/>
      <c r="BH60" s="128"/>
    </row>
    <row r="61" s="57" customFormat="1" ht="0" customHeight="1">
      <c r="A61" s="132" t="s">
        <v>249</v>
      </c>
      <c r="B61" s="132" t="s">
        <v>250</v>
      </c>
      <c r="C61" s="132"/>
      <c r="D61" s="132"/>
      <c r="E61" s="490"/>
      <c r="F61" s="479"/>
      <c r="G61" s="132"/>
      <c r="H61" s="132"/>
      <c r="I61" s="132"/>
      <c r="J61" s="132"/>
      <c r="K61" s="132"/>
      <c r="L61" s="213"/>
      <c r="M61" s="526"/>
      <c r="N61" s="526"/>
      <c r="P61" s="166"/>
      <c r="Q61" s="522"/>
      <c r="R61" s="166"/>
      <c r="S61" s="527"/>
      <c r="T61" s="530" t="s">
        <v>405</v>
      </c>
      <c r="U61" s="529"/>
      <c r="V61" s="529"/>
      <c r="W61" s="529"/>
      <c r="X61" s="529"/>
      <c r="Y61" s="529"/>
      <c r="Z61" s="529"/>
      <c r="AA61" s="529"/>
      <c r="AB61" s="529"/>
      <c r="AC61" s="529"/>
      <c r="AD61" s="529"/>
      <c r="AE61" s="529"/>
      <c r="AF61" s="529"/>
      <c r="AG61" s="529"/>
      <c r="AH61" s="529"/>
      <c r="AI61" s="529"/>
      <c r="AJ61" s="529"/>
      <c r="AK61" s="529"/>
      <c r="AL61" s="529"/>
      <c r="AM61" s="529"/>
      <c r="AN61" s="529"/>
      <c r="AO61" s="529"/>
      <c r="AP61" s="529"/>
      <c r="AQ61" s="529"/>
      <c r="AR61" s="529"/>
      <c r="AS61" s="529"/>
      <c r="AT61" s="529"/>
      <c r="AU61" s="529"/>
      <c r="AV61" s="529"/>
      <c r="AW61" s="529"/>
      <c r="AX61" s="529"/>
      <c r="AY61" s="529"/>
      <c r="AZ61" s="529"/>
      <c r="BA61" s="529"/>
      <c r="BB61" s="529"/>
      <c r="BC61" s="529"/>
      <c r="BE61" s="128"/>
      <c r="BF61" s="128" t="str">
        <f t="shared" si="41"/>
        <v xml:space="preserve">Добавить централизованную систему для дифференциации</v>
      </c>
      <c r="BG61" s="128"/>
      <c r="BH61" s="128"/>
    </row>
    <row r="62" s="57" customFormat="1" ht="0" customHeight="1">
      <c r="A62" s="132" t="s">
        <v>249</v>
      </c>
      <c r="B62" s="132"/>
      <c r="C62" s="132"/>
      <c r="D62" s="132"/>
      <c r="E62" s="479"/>
      <c r="F62" s="132"/>
      <c r="G62" s="132"/>
      <c r="H62" s="132"/>
      <c r="I62" s="132"/>
      <c r="J62" s="132"/>
      <c r="K62" s="132"/>
      <c r="L62" s="213"/>
      <c r="M62" s="526"/>
      <c r="N62" s="526"/>
      <c r="O62" s="57"/>
      <c r="P62" s="166"/>
      <c r="Q62" s="522"/>
      <c r="R62" s="166"/>
      <c r="S62" s="527"/>
      <c r="T62" s="530" t="s">
        <v>406</v>
      </c>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E62" s="128"/>
      <c r="BF62" s="128" t="str">
        <f t="shared" si="41"/>
        <v xml:space="preserve">Добавить территорию для дифференциации</v>
      </c>
      <c r="BG62" s="128"/>
      <c r="BH62" s="128"/>
    </row>
    <row r="63" s="57" customFormat="1" ht="0" customHeight="1">
      <c r="A63" s="132"/>
      <c r="B63" s="132"/>
      <c r="C63" s="132"/>
      <c r="D63" s="132"/>
      <c r="E63" s="132"/>
      <c r="F63" s="132"/>
      <c r="G63" s="132"/>
      <c r="H63" s="132"/>
      <c r="I63" s="132"/>
      <c r="J63" s="132"/>
      <c r="K63" s="132"/>
      <c r="L63" s="213"/>
      <c r="M63" s="526"/>
      <c r="N63" s="526"/>
      <c r="P63" s="166"/>
      <c r="Q63" s="522"/>
      <c r="R63" s="166"/>
      <c r="S63" s="527"/>
      <c r="T63" s="530" t="s">
        <v>438</v>
      </c>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29"/>
      <c r="AY63" s="529"/>
      <c r="AZ63" s="529"/>
      <c r="BA63" s="529"/>
      <c r="BB63" s="529"/>
      <c r="BC63" s="529"/>
      <c r="BE63" s="128"/>
      <c r="BF63" s="128" t="str">
        <f t="shared" si="41"/>
        <v xml:space="preserve">Добавить наименование тарифа</v>
      </c>
      <c r="BG63" s="128"/>
      <c r="BH63" s="128"/>
    </row>
    <row r="64" ht="11.25" customHeight="1">
      <c r="M64" s="53"/>
      <c r="N64" s="53"/>
      <c r="O64" s="53"/>
      <c r="P64" s="53"/>
      <c r="Q64" s="53"/>
      <c r="R64" s="50"/>
      <c r="S64" s="50"/>
      <c r="BD64" s="50"/>
      <c r="BE64" s="50"/>
      <c r="BF64" s="50"/>
      <c r="BG64" s="50"/>
      <c r="BH64" s="50"/>
    </row>
    <row r="65" ht="18.75" customHeight="1">
      <c r="O65" s="53"/>
      <c r="S65" s="475"/>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572"/>
      <c r="AY65" s="572"/>
      <c r="AZ65" s="572"/>
      <c r="BA65" s="572"/>
      <c r="BB65" s="572"/>
      <c r="BC65" s="572"/>
    </row>
    <row r="66" ht="14.25" customHeight="1">
      <c r="O66" s="53"/>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row>
    <row r="67" ht="18.75" customHeight="1">
      <c r="O67" s="53"/>
      <c r="S67" s="475"/>
      <c r="T67" s="572"/>
      <c r="U67" s="572"/>
      <c r="V67" s="572"/>
      <c r="W67" s="572"/>
      <c r="X67" s="572"/>
      <c r="Y67" s="572"/>
      <c r="Z67" s="572"/>
      <c r="AA67" s="572"/>
      <c r="AB67" s="572"/>
      <c r="AC67" s="572"/>
      <c r="AD67" s="572"/>
      <c r="AE67" s="572"/>
      <c r="AF67" s="572"/>
      <c r="AG67" s="572"/>
      <c r="AH67" s="572"/>
      <c r="AI67" s="572"/>
      <c r="AJ67" s="572"/>
      <c r="AK67" s="572"/>
      <c r="AL67" s="572"/>
      <c r="AM67" s="572"/>
      <c r="AN67" s="572"/>
      <c r="AO67" s="572"/>
      <c r="AP67" s="572"/>
      <c r="AQ67" s="572"/>
      <c r="AR67" s="572"/>
      <c r="AS67" s="572"/>
      <c r="AT67" s="572"/>
      <c r="AU67" s="572"/>
      <c r="AV67" s="572"/>
      <c r="AW67" s="572"/>
      <c r="AX67" s="572"/>
      <c r="AY67" s="572"/>
      <c r="AZ67" s="572"/>
      <c r="BA67" s="572"/>
      <c r="BB67" s="572"/>
      <c r="BC67" s="572"/>
    </row>
    <row r="68" ht="14.25" customHeight="1">
      <c r="O68" s="53"/>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7F00DB-0094-476D-872D-0057002700A0}"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DA00E5-00E7-460A-8503-007000D4001C}"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AE00CF-00D0-419B-89B2-00DC00310019}"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7E0095-00D1-4E76-A0A0-0050002D0073}"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F6002A-006F-4A44-B215-0033007B001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D20" zoomScale="90" workbookViewId="0">
      <selection activeCell="A1" activeCellId="0" sqref="A1"/>
    </sheetView>
  </sheetViews>
  <sheetFormatPr defaultColWidth="9.140625" defaultRowHeight="11.25" customHeight="1"/>
  <cols>
    <col customWidth="1" hidden="1" min="1" max="1" style="684" width="10.7109375"/>
    <col customWidth="1" hidden="1" min="2" max="2" style="53" width="16.8515625"/>
    <col customWidth="1" hidden="1" min="3" max="3" style="57" width="5.57421875"/>
    <col customWidth="1" min="4" max="4" style="50" width="3.7109375"/>
    <col customWidth="1" min="5" max="5" style="50" width="7.7109375"/>
    <col customWidth="1" min="6" max="6" style="50" width="54.57421875"/>
    <col customWidth="1" min="7" max="7" style="50" width="10.421875"/>
    <col customWidth="1" hidden="1" min="8" max="8" style="50" width="40.7109375"/>
    <col customWidth="1" min="9" max="9" style="50" width="40.7109375"/>
    <col customWidth="1" min="10" max="10" style="50" width="102.8515625"/>
    <col customWidth="1" min="11" max="11" style="53" width="9.7109375"/>
    <col customWidth="1" min="12" max="12" style="57" width="5.28125"/>
    <col customWidth="1" min="13" max="13" style="57" width="3.7109375"/>
    <col customWidth="1" min="14" max="17" style="53" width="3.7109375"/>
    <col customWidth="1" min="18" max="18" style="57" width="10.57421875"/>
    <col customWidth="1" min="19" max="19" style="53" width="34.7109375"/>
    <col customWidth="1" min="20" max="20" style="53" width="9.421875"/>
    <col min="21" max="21" style="685" width="9.140625"/>
    <col min="22" max="26" style="53" width="9.140625"/>
    <col min="27" max="31" style="56" width="9.140625"/>
  </cols>
  <sheetData>
    <row r="1" ht="11.25" hidden="1" customHeight="1"/>
    <row r="2" ht="23.25" hidden="1" customHeight="1">
      <c r="B2" s="51"/>
      <c r="C2" s="529" t="s">
        <v>527</v>
      </c>
      <c r="D2" s="124"/>
      <c r="E2" s="686">
        <f>B2</f>
        <v>0</v>
      </c>
      <c r="F2" s="687"/>
      <c r="G2" s="156" t="s">
        <v>528</v>
      </c>
      <c r="H2" s="156" t="s">
        <v>528</v>
      </c>
      <c r="I2" s="156" t="s">
        <v>528</v>
      </c>
      <c r="J2" s="484" t="s">
        <v>529</v>
      </c>
      <c r="K2" s="688"/>
    </row>
    <row r="3" s="57" customFormat="1" ht="0.75" hidden="1" customHeight="1">
      <c r="B3" s="51"/>
      <c r="C3" s="529"/>
      <c r="D3" s="529"/>
      <c r="E3" s="689"/>
      <c r="F3" s="690" t="s">
        <v>530</v>
      </c>
      <c r="G3" s="157"/>
      <c r="H3" s="157">
        <f>H4*H5+H7</f>
        <v>0</v>
      </c>
      <c r="I3" s="157">
        <f>I4*I5+I6</f>
        <v>0</v>
      </c>
      <c r="J3" s="350"/>
    </row>
    <row r="4" ht="23.25" hidden="1" customHeight="1">
      <c r="B4" s="51"/>
      <c r="C4" s="529"/>
      <c r="D4" s="124"/>
      <c r="E4" s="686" t="str">
        <f>B2&amp;".1"</f>
        <v>.1</v>
      </c>
      <c r="F4" s="691" t="s">
        <v>531</v>
      </c>
      <c r="G4" s="692"/>
      <c r="H4" s="505"/>
      <c r="I4" s="505"/>
      <c r="J4" s="484" t="s">
        <v>532</v>
      </c>
      <c r="K4" s="688"/>
    </row>
    <row r="5" ht="18.75" hidden="1" customHeight="1">
      <c r="B5" s="51"/>
      <c r="C5" s="529"/>
      <c r="D5" s="124"/>
      <c r="E5" s="686" t="str">
        <f>B2&amp;".2"</f>
        <v>.2</v>
      </c>
      <c r="F5" s="691" t="s">
        <v>533</v>
      </c>
      <c r="G5" s="156" t="s">
        <v>534</v>
      </c>
      <c r="H5" s="505"/>
      <c r="I5" s="505"/>
      <c r="J5" s="484"/>
      <c r="K5" s="688"/>
    </row>
    <row r="6" ht="18.75" hidden="1" customHeight="1">
      <c r="B6" s="51"/>
      <c r="C6" s="529"/>
      <c r="D6" s="124"/>
      <c r="E6" s="686" t="str">
        <f>B2&amp;".3"</f>
        <v>.3</v>
      </c>
      <c r="F6" s="691" t="s">
        <v>535</v>
      </c>
      <c r="G6" s="156" t="s">
        <v>534</v>
      </c>
      <c r="H6" s="505"/>
      <c r="I6" s="505"/>
      <c r="J6" s="484"/>
      <c r="K6" s="688"/>
    </row>
    <row r="7" ht="18.75" hidden="1" customHeight="1">
      <c r="B7" s="51"/>
      <c r="C7" s="529"/>
      <c r="D7" s="124"/>
      <c r="E7" s="686" t="str">
        <f>B2&amp;".4"</f>
        <v>.4</v>
      </c>
      <c r="F7" s="691" t="s">
        <v>536</v>
      </c>
      <c r="G7" s="156" t="s">
        <v>528</v>
      </c>
      <c r="H7" s="693"/>
      <c r="I7" s="693"/>
      <c r="J7" s="484"/>
      <c r="K7" s="688"/>
    </row>
    <row r="8" s="53" customFormat="1" ht="11.25" hidden="1" customHeight="1">
      <c r="A8" s="684"/>
      <c r="C8" s="57"/>
      <c r="D8" s="53"/>
      <c r="H8" s="53">
        <v>4</v>
      </c>
      <c r="I8" s="53">
        <v>4</v>
      </c>
      <c r="L8" s="57"/>
      <c r="M8" s="57"/>
      <c r="R8" s="57"/>
    </row>
    <row r="9" s="53" customFormat="1" ht="22.5" hidden="1" customHeight="1">
      <c r="A9" s="684"/>
      <c r="C9" s="57"/>
      <c r="D9" s="694"/>
      <c r="E9" s="156"/>
      <c r="F9" s="158"/>
      <c r="G9" s="156" t="s">
        <v>534</v>
      </c>
      <c r="H9" s="505"/>
      <c r="I9" s="505"/>
      <c r="J9" s="695" t="s">
        <v>537</v>
      </c>
      <c r="K9" s="688"/>
      <c r="L9" s="57"/>
      <c r="M9" s="57"/>
      <c r="R9" s="57"/>
      <c r="U9" s="685"/>
      <c r="AA9" s="56"/>
      <c r="AB9" s="56"/>
      <c r="AC9" s="56"/>
      <c r="AD9" s="56"/>
      <c r="AE9" s="56"/>
    </row>
    <row r="10" ht="11.25" hidden="1" customHeight="1"/>
    <row r="11" ht="18.75" hidden="1" customHeight="1">
      <c r="D11" s="124"/>
      <c r="E11" s="686"/>
      <c r="F11" s="158"/>
      <c r="G11" s="156" t="s">
        <v>538</v>
      </c>
      <c r="H11" s="505"/>
      <c r="I11" s="505"/>
      <c r="J11" s="484" t="s">
        <v>539</v>
      </c>
      <c r="K11" s="688"/>
    </row>
    <row r="12" ht="11.25" hidden="1" customHeight="1"/>
    <row r="13" ht="22.5" hidden="1" customHeight="1">
      <c r="D13" s="124"/>
      <c r="E13" s="686"/>
      <c r="F13" s="158"/>
      <c r="G13" s="72" t="s">
        <v>540</v>
      </c>
      <c r="H13" s="696"/>
      <c r="I13" s="696"/>
      <c r="J13" s="697" t="s">
        <v>541</v>
      </c>
      <c r="K13" s="688"/>
    </row>
    <row r="14" ht="11.25" hidden="1" customHeight="1"/>
    <row r="15" ht="22.5" hidden="1" customHeight="1">
      <c r="D15" s="124"/>
      <c r="E15" s="686"/>
      <c r="F15" s="158"/>
      <c r="G15" s="156" t="s">
        <v>542</v>
      </c>
      <c r="H15" s="696"/>
      <c r="I15" s="696"/>
      <c r="J15" s="484" t="s">
        <v>543</v>
      </c>
      <c r="K15" s="688"/>
    </row>
    <row r="16" ht="11.25" hidden="1" customHeight="1"/>
    <row r="17" ht="22.5" hidden="1" customHeight="1">
      <c r="D17" s="124"/>
      <c r="E17" s="686"/>
      <c r="F17" s="158"/>
      <c r="G17" s="156" t="s">
        <v>544</v>
      </c>
      <c r="H17" s="696"/>
      <c r="I17" s="696"/>
      <c r="J17" s="484" t="s">
        <v>545</v>
      </c>
      <c r="K17" s="688"/>
    </row>
    <row r="18" ht="11.25" hidden="1" customHeight="1"/>
    <row r="19" s="56" customFormat="1" ht="11.25" hidden="1" customHeight="1">
      <c r="A19" s="684"/>
      <c r="B19" s="53"/>
      <c r="C19" s="57"/>
      <c r="D19" s="56"/>
      <c r="J19" s="56">
        <v>4</v>
      </c>
      <c r="K19" s="53"/>
      <c r="L19" s="57"/>
      <c r="M19" s="57"/>
      <c r="N19" s="53"/>
      <c r="O19" s="53"/>
      <c r="P19" s="53"/>
      <c r="Q19" s="53"/>
      <c r="R19" s="57"/>
      <c r="S19" s="53"/>
      <c r="T19" s="53"/>
      <c r="U19" s="685"/>
      <c r="V19" s="53"/>
      <c r="W19" s="53"/>
      <c r="X19" s="53"/>
      <c r="Y19" s="53"/>
      <c r="Z19" s="53"/>
    </row>
    <row r="21" ht="24" customHeight="1">
      <c r="E21" s="451" t="str">
        <f>FHD_NAME_FORM</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451"/>
      <c r="G21" s="451"/>
      <c r="H21" s="451"/>
      <c r="I21" s="451"/>
      <c r="J21" s="241"/>
    </row>
    <row r="22" ht="24" customHeight="1">
      <c r="E22" s="302" t="str">
        <f>IF(org=0,"Не определено",org)</f>
        <v xml:space="preserve">филиал ПАО "ОГК-2" - Адлерская ТЭС</v>
      </c>
      <c r="F22" s="302"/>
      <c r="G22" s="302"/>
      <c r="H22" s="302"/>
      <c r="I22" s="302"/>
    </row>
    <row r="23" ht="11.25" customHeight="1">
      <c r="E23" s="698"/>
      <c r="F23" s="698"/>
      <c r="G23" s="698"/>
      <c r="H23" s="698"/>
      <c r="I23" s="698"/>
    </row>
    <row r="24" s="57" customFormat="1" ht="0.75" customHeight="1">
      <c r="A24" s="529"/>
      <c r="D24" s="57"/>
      <c r="H24" s="699"/>
      <c r="I24" s="699" t="s">
        <v>118</v>
      </c>
    </row>
    <row r="25" ht="11.25" customHeight="1">
      <c r="E25" s="700"/>
      <c r="F25" s="701" t="s">
        <v>107</v>
      </c>
      <c r="G25" s="702"/>
      <c r="H25" s="703" t="str">
        <f>IF(H24="","",INDEX(DIFFERENTIATION_UNMERGE_VD,MATCH(H24,DIFFERENTIATION_ID_DIFF,0)))</f>
        <v/>
      </c>
      <c r="I25" s="703" t="str">
        <f>IF(I24="","",INDEX(DIFFERENTIATION_UNMERGE_VD,MATCH(I24,DIFFERENTIATION_ID_DIFF,0)))</f>
        <v xml:space="preserve">Сбыт. Тепловая энергия</v>
      </c>
      <c r="J25" s="156"/>
    </row>
    <row r="26" ht="11.25" customHeight="1">
      <c r="E26" s="700"/>
      <c r="F26" s="701" t="s">
        <v>546</v>
      </c>
      <c r="G26" s="702"/>
      <c r="H26" s="703" t="str">
        <f>IF(H24="","",INDEX(DIFFERENTIATION_UNMERGE_AREA,MATCH(H24,DIFFERENTIATION_ID_DIFF,0)))</f>
        <v/>
      </c>
      <c r="I26" s="703" t="str">
        <f>IF(I24="","",INDEX(DIFFERENTIATION_UNMERGE_AREA,MATCH(I24,DIFFERENTIATION_ID_DIFF,0)))</f>
        <v xml:space="preserve">Территория 1</v>
      </c>
      <c r="J26" s="156"/>
    </row>
    <row r="27" ht="11.25" customHeight="1">
      <c r="E27" s="700"/>
      <c r="F27" s="701" t="s">
        <v>547</v>
      </c>
      <c r="G27" s="702"/>
      <c r="H27" s="703" t="str">
        <f>IF(H24="","",INDEX(DIFFERENTIATION_UNMERGE_SYSTEM,MATCH(H24,DIFFERENTIATION_ID_DIFF,0)))</f>
        <v/>
      </c>
      <c r="I27" s="703" t="str">
        <f>IF(I24="","",INDEX(DIFFERENTIATION_UNMERGE_SYSTEM,MATCH(I24,DIFFERENTIATION_ID_DIFF,0)))</f>
        <v xml:space="preserve">без дифференциации</v>
      </c>
      <c r="J27" s="156"/>
    </row>
    <row r="28" ht="11.25" customHeight="1">
      <c r="E28" s="704" t="s">
        <v>288</v>
      </c>
      <c r="F28" s="705"/>
      <c r="G28" s="705"/>
      <c r="H28" s="701"/>
      <c r="I28" s="701"/>
      <c r="J28" s="156"/>
    </row>
    <row r="29" ht="22.5" customHeight="1">
      <c r="E29" s="156" t="s">
        <v>85</v>
      </c>
      <c r="F29" s="156" t="s">
        <v>290</v>
      </c>
      <c r="G29" s="156" t="s">
        <v>548</v>
      </c>
      <c r="H29" s="156" t="s">
        <v>291</v>
      </c>
      <c r="I29" s="156" t="s">
        <v>291</v>
      </c>
      <c r="J29" s="156"/>
    </row>
    <row r="30" ht="22.5" customHeight="1">
      <c r="D30" s="124"/>
      <c r="E30" s="686">
        <f>FHD_NUM_P_1</f>
        <v>1</v>
      </c>
      <c r="F30" s="312" t="str">
        <f>FHD_P_1</f>
        <v xml:space="preserve">Выручка от регулируемого вида деятельности с распределением по видам деятельности</v>
      </c>
      <c r="G30" s="156" t="s">
        <v>534</v>
      </c>
      <c r="H30" s="706"/>
      <c r="I30" s="706"/>
      <c r="J30" s="484" t="str">
        <f>FHD_NOTE_P_1</f>
        <v xml:space="preserve">Указывается выручка от регулируемого вида деятельности с распределением по видам деятельности.</v>
      </c>
      <c r="K30" s="688"/>
    </row>
    <row r="31" ht="22.5" customHeight="1">
      <c r="D31" s="124"/>
      <c r="E31" s="686">
        <f>FHD_NUM_P_2</f>
        <v>2</v>
      </c>
      <c r="F31" s="312" t="str">
        <f>FHD_P_2</f>
        <v xml:space="preserve">Себестоимость производимых товаров (оказываемых услуг) по регулируемому виду деятельности, включая:</v>
      </c>
      <c r="G31" s="156" t="s">
        <v>534</v>
      </c>
      <c r="H31" s="707">
        <f>SUMIF($K33:$K71,$K31,H33:H71)</f>
        <v>0</v>
      </c>
      <c r="I31" s="707">
        <f>SUMIF($K33:$K71,$K31,I33:I71)</f>
        <v>0</v>
      </c>
      <c r="J31" s="484" t="str">
        <f>FHD_NOTE_P_2</f>
        <v xml:space="preserve">Указывается суммарная себестоимость производимых товаров.</v>
      </c>
      <c r="K31" s="57" t="s">
        <v>549</v>
      </c>
    </row>
    <row r="32" ht="22.5" customHeight="1">
      <c r="D32" s="124"/>
      <c r="E32" s="686" t="str">
        <f>FHD_NUM_P_3</f>
        <v>2.1</v>
      </c>
      <c r="F32" s="655" t="str">
        <f>FHD_P_3</f>
        <v xml:space="preserve">Расходы на приобретаемую тепловую энергию (мощность), теплоноситель</v>
      </c>
      <c r="G32" s="156" t="s">
        <v>534</v>
      </c>
      <c r="H32" s="706"/>
      <c r="I32" s="706"/>
      <c r="J32" s="484" t="str">
        <f>FHD_NOTE_P_3</f>
        <v/>
      </c>
      <c r="K32" s="57" t="str">
        <f t="shared" ref="K32:K70" si="42">IF((LEN(E32)-LEN(SUBSTITUTE(E32,".","")))/LEN(".")=1,"p","")</f>
        <v>p</v>
      </c>
    </row>
    <row r="33" ht="11.25" customHeight="1">
      <c r="A33" s="708" t="s">
        <v>550</v>
      </c>
      <c r="D33" s="124"/>
      <c r="E33" s="686" t="str">
        <f>FHD_NUM_P_4</f>
        <v>2.2</v>
      </c>
      <c r="F33" s="655" t="str">
        <f>FHD_P_4</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G33" s="156" t="s">
        <v>534</v>
      </c>
      <c r="H33" s="707">
        <f>SUMIF($F34:$F40,$F3,H34:H40)</f>
        <v>0</v>
      </c>
      <c r="I33" s="707">
        <f>SUMIF($F34:$F40,$F3,I34:I40)</f>
        <v>0</v>
      </c>
      <c r="J33" s="484" t="str">
        <f>FHD_NOTE_P_4</f>
        <v xml:space="preserve">Указываются суммарные расходы на приобретение топлива всех видов.</v>
      </c>
      <c r="K33" s="57" t="str">
        <f t="shared" si="42"/>
        <v>p</v>
      </c>
    </row>
    <row r="34" s="130" customFormat="1" ht="0.75" customHeight="1">
      <c r="A34" s="708"/>
      <c r="B34" s="709" t="str">
        <f>E33&amp;".0"</f>
        <v>2.2.0</v>
      </c>
      <c r="C34" s="529"/>
      <c r="D34" s="710"/>
      <c r="E34" s="711"/>
      <c r="F34" s="712"/>
      <c r="G34" s="713"/>
      <c r="H34" s="427"/>
      <c r="I34" s="427"/>
      <c r="J34" s="714"/>
      <c r="K34" s="57" t="str">
        <f t="shared" si="42"/>
        <v/>
      </c>
      <c r="L34" s="57"/>
      <c r="M34" s="57"/>
      <c r="N34" s="57"/>
      <c r="O34" s="57"/>
      <c r="P34" s="57"/>
      <c r="Q34" s="57"/>
      <c r="R34" s="57"/>
      <c r="S34" s="57"/>
      <c r="T34" s="57"/>
      <c r="U34" s="715"/>
      <c r="V34" s="57"/>
      <c r="W34" s="57"/>
      <c r="X34" s="57"/>
      <c r="Y34" s="57"/>
      <c r="Z34" s="57"/>
      <c r="AA34" s="54"/>
      <c r="AB34" s="54"/>
      <c r="AC34" s="54"/>
      <c r="AD34" s="54"/>
      <c r="AE34" s="54"/>
    </row>
    <row r="35" s="130" customFormat="1" ht="0.75" customHeight="1">
      <c r="A35" s="708"/>
      <c r="B35" s="709"/>
      <c r="C35" s="529"/>
      <c r="D35" s="710"/>
      <c r="E35" s="716"/>
      <c r="F35" s="717"/>
      <c r="G35" s="713"/>
      <c r="H35" s="718"/>
      <c r="I35" s="718"/>
      <c r="J35" s="714"/>
      <c r="K35" s="57" t="str">
        <f t="shared" si="42"/>
        <v/>
      </c>
      <c r="L35" s="57"/>
      <c r="M35" s="57"/>
      <c r="N35" s="57"/>
      <c r="O35" s="57"/>
      <c r="P35" s="57"/>
      <c r="Q35" s="57"/>
      <c r="R35" s="57"/>
      <c r="S35" s="57"/>
      <c r="T35" s="57"/>
      <c r="U35" s="715"/>
      <c r="V35" s="57"/>
      <c r="W35" s="57"/>
      <c r="X35" s="57"/>
      <c r="Y35" s="57"/>
      <c r="Z35" s="57"/>
      <c r="AA35" s="54"/>
      <c r="AB35" s="54"/>
      <c r="AC35" s="54"/>
      <c r="AD35" s="54"/>
      <c r="AE35" s="54"/>
    </row>
    <row r="36" s="130" customFormat="1" ht="0.75" customHeight="1">
      <c r="A36" s="708"/>
      <c r="B36" s="709"/>
      <c r="C36" s="529"/>
      <c r="D36" s="710"/>
      <c r="E36" s="716"/>
      <c r="F36" s="717"/>
      <c r="G36" s="713"/>
      <c r="H36" s="718"/>
      <c r="I36" s="718"/>
      <c r="J36" s="714"/>
      <c r="K36" s="57" t="str">
        <f t="shared" si="42"/>
        <v/>
      </c>
      <c r="L36" s="57"/>
      <c r="M36" s="57"/>
      <c r="N36" s="57"/>
      <c r="O36" s="57"/>
      <c r="P36" s="57"/>
      <c r="Q36" s="57"/>
      <c r="R36" s="57"/>
      <c r="S36" s="57"/>
      <c r="T36" s="57"/>
      <c r="U36" s="715"/>
      <c r="V36" s="57"/>
      <c r="W36" s="57"/>
      <c r="X36" s="57"/>
      <c r="Y36" s="57"/>
      <c r="Z36" s="57"/>
      <c r="AA36" s="54"/>
      <c r="AB36" s="54"/>
      <c r="AC36" s="54"/>
      <c r="AD36" s="54"/>
      <c r="AE36" s="54"/>
    </row>
    <row r="37" s="130" customFormat="1" ht="0.75" customHeight="1">
      <c r="A37" s="708"/>
      <c r="B37" s="709"/>
      <c r="C37" s="529"/>
      <c r="D37" s="710"/>
      <c r="E37" s="716"/>
      <c r="F37" s="717"/>
      <c r="G37" s="713"/>
      <c r="H37" s="718"/>
      <c r="I37" s="718"/>
      <c r="J37" s="714"/>
      <c r="K37" s="57" t="str">
        <f t="shared" si="42"/>
        <v/>
      </c>
      <c r="L37" s="57"/>
      <c r="M37" s="57"/>
      <c r="N37" s="57"/>
      <c r="O37" s="57"/>
      <c r="P37" s="57"/>
      <c r="Q37" s="57"/>
      <c r="R37" s="57"/>
      <c r="S37" s="57"/>
      <c r="T37" s="57"/>
      <c r="U37" s="715"/>
      <c r="V37" s="57"/>
      <c r="W37" s="57"/>
      <c r="X37" s="57"/>
      <c r="Y37" s="57"/>
      <c r="Z37" s="57"/>
      <c r="AA37" s="54"/>
      <c r="AB37" s="54"/>
      <c r="AC37" s="54"/>
      <c r="AD37" s="54"/>
      <c r="AE37" s="54"/>
    </row>
    <row r="38" s="130" customFormat="1" ht="0.75" customHeight="1">
      <c r="A38" s="708"/>
      <c r="B38" s="709"/>
      <c r="C38" s="529"/>
      <c r="D38" s="710"/>
      <c r="E38" s="716"/>
      <c r="F38" s="717"/>
      <c r="G38" s="713"/>
      <c r="H38" s="718"/>
      <c r="I38" s="718"/>
      <c r="J38" s="714"/>
      <c r="K38" s="57" t="str">
        <f t="shared" si="42"/>
        <v/>
      </c>
      <c r="L38" s="57"/>
      <c r="M38" s="57"/>
      <c r="N38" s="57"/>
      <c r="O38" s="57"/>
      <c r="P38" s="57"/>
      <c r="Q38" s="57"/>
      <c r="R38" s="57"/>
      <c r="S38" s="57"/>
      <c r="T38" s="57"/>
      <c r="U38" s="715"/>
      <c r="V38" s="57"/>
      <c r="W38" s="57"/>
      <c r="X38" s="57"/>
      <c r="Y38" s="57"/>
      <c r="Z38" s="57"/>
      <c r="AA38" s="54"/>
      <c r="AB38" s="54"/>
      <c r="AC38" s="54"/>
      <c r="AD38" s="54"/>
      <c r="AE38" s="54"/>
    </row>
    <row r="39" s="130" customFormat="1" ht="0.75" customHeight="1">
      <c r="A39" s="708"/>
      <c r="B39" s="709"/>
      <c r="C39" s="529"/>
      <c r="D39" s="710"/>
      <c r="E39" s="716"/>
      <c r="F39" s="717"/>
      <c r="G39" s="713"/>
      <c r="H39" s="427"/>
      <c r="I39" s="427"/>
      <c r="J39" s="714"/>
      <c r="K39" s="57" t="str">
        <f t="shared" si="42"/>
        <v/>
      </c>
      <c r="L39" s="57"/>
      <c r="M39" s="57"/>
      <c r="N39" s="57"/>
      <c r="O39" s="57"/>
      <c r="P39" s="57"/>
      <c r="Q39" s="57"/>
      <c r="R39" s="57"/>
      <c r="S39" s="57"/>
      <c r="T39" s="57"/>
      <c r="U39" s="715"/>
      <c r="V39" s="57"/>
      <c r="W39" s="57"/>
      <c r="X39" s="57"/>
      <c r="Y39" s="57"/>
      <c r="Z39" s="57"/>
      <c r="AA39" s="54"/>
      <c r="AB39" s="54"/>
      <c r="AC39" s="54"/>
      <c r="AD39" s="54"/>
      <c r="AE39" s="54"/>
    </row>
    <row r="40" s="53" customFormat="1" ht="15" customHeight="1">
      <c r="A40" s="708"/>
      <c r="C40" s="57"/>
      <c r="D40" s="127"/>
      <c r="E40" s="719"/>
      <c r="F40" s="236" t="s">
        <v>551</v>
      </c>
      <c r="G40" s="720"/>
      <c r="H40" s="721"/>
      <c r="I40" s="721"/>
      <c r="J40" s="547"/>
      <c r="K40" s="57" t="str">
        <f t="shared" si="42"/>
        <v/>
      </c>
      <c r="L40" s="57"/>
      <c r="M40" s="57"/>
      <c r="R40" s="57"/>
      <c r="U40" s="685"/>
      <c r="AA40" s="56"/>
      <c r="AB40" s="56"/>
      <c r="AC40" s="56"/>
      <c r="AD40" s="56"/>
      <c r="AE40" s="56"/>
    </row>
    <row r="41" ht="11.25" hidden="1" customHeight="1">
      <c r="A41" s="708" t="s">
        <v>552</v>
      </c>
      <c r="D41" s="124"/>
      <c r="E41" s="686" t="str">
        <f>FHD_NUM_P_5</f>
        <v/>
      </c>
      <c r="F41" s="655" t="str">
        <f>FHD_P_5</f>
        <v/>
      </c>
      <c r="G41" s="156" t="s">
        <v>534</v>
      </c>
      <c r="H41" s="706"/>
      <c r="I41" s="706"/>
      <c r="J41" s="484" t="str">
        <f>FHD_NOTE_P_5</f>
        <v/>
      </c>
      <c r="K41" s="57" t="str">
        <f t="shared" si="42"/>
        <v/>
      </c>
    </row>
    <row r="42" ht="11.25" hidden="1" customHeight="1">
      <c r="A42" s="708"/>
      <c r="D42" s="124"/>
      <c r="E42" s="686" t="str">
        <f>FHD_NUM_P_6</f>
        <v/>
      </c>
      <c r="F42" s="655" t="str">
        <f>FHD_P_6</f>
        <v/>
      </c>
      <c r="G42" s="156" t="s">
        <v>534</v>
      </c>
      <c r="H42" s="706"/>
      <c r="I42" s="706"/>
      <c r="J42" s="484" t="str">
        <f>FHD_NOTE_P_6</f>
        <v/>
      </c>
      <c r="K42" s="57" t="str">
        <f t="shared" si="42"/>
        <v/>
      </c>
    </row>
    <row r="43" ht="11.25" hidden="1" customHeight="1">
      <c r="A43" s="708"/>
      <c r="D43" s="124"/>
      <c r="E43" s="686" t="str">
        <f>FHD_NUM_P_7</f>
        <v/>
      </c>
      <c r="F43" s="655" t="str">
        <f>FHD_P_7</f>
        <v/>
      </c>
      <c r="G43" s="156" t="s">
        <v>534</v>
      </c>
      <c r="H43" s="706"/>
      <c r="I43" s="706"/>
      <c r="J43" s="484" t="str">
        <f>FHD_NOTE_P_7</f>
        <v/>
      </c>
      <c r="K43" s="57" t="str">
        <f t="shared" si="42"/>
        <v/>
      </c>
    </row>
    <row r="44" ht="22.5" customHeight="1">
      <c r="D44" s="124"/>
      <c r="E44" s="686" t="str">
        <f>FHD_NUM_P_8</f>
        <v>2.3</v>
      </c>
      <c r="F44" s="655" t="str">
        <f>FHD_P_8</f>
        <v xml:space="preserve">Расходы на приобретаемую электрическую энергию (мощность), используемую в технологическом процессе</v>
      </c>
      <c r="G44" s="156" t="s">
        <v>534</v>
      </c>
      <c r="H44" s="706"/>
      <c r="I44" s="706"/>
      <c r="J44" s="484" t="str">
        <f>FHD_NOTE_P_8</f>
        <v/>
      </c>
      <c r="K44" s="57" t="str">
        <f t="shared" si="42"/>
        <v>p</v>
      </c>
    </row>
    <row r="45" ht="22.5" customHeight="1">
      <c r="D45" s="124"/>
      <c r="E45" s="686" t="str">
        <f>FHD_NUM_P_9</f>
        <v>2.3.1</v>
      </c>
      <c r="F45" s="722" t="str">
        <f>FHD_P_9</f>
        <v xml:space="preserve">Средневзвешенная стоимость 1 кВт.ч (с учетом мощности)</v>
      </c>
      <c r="G45" s="156" t="s">
        <v>553</v>
      </c>
      <c r="H45" s="706"/>
      <c r="I45" s="706"/>
      <c r="J45" s="484" t="str">
        <f>FHD_NOTE_P_9</f>
        <v/>
      </c>
      <c r="K45" s="57" t="str">
        <f t="shared" si="42"/>
        <v/>
      </c>
    </row>
    <row r="46" s="53" customFormat="1" ht="11.25" customHeight="1">
      <c r="A46" s="684"/>
      <c r="C46" s="57"/>
      <c r="D46" s="723"/>
      <c r="E46" s="686" t="str">
        <f>FHD_NUM_P_10</f>
        <v>2.3.2</v>
      </c>
      <c r="F46" s="722" t="str">
        <f>FHD_P_10</f>
        <v xml:space="preserve">Объём приобретения электрической энергии</v>
      </c>
      <c r="G46" s="156" t="s">
        <v>554</v>
      </c>
      <c r="H46" s="706"/>
      <c r="I46" s="706"/>
      <c r="J46" s="484" t="str">
        <f>FHD_NOTE_P_10</f>
        <v/>
      </c>
      <c r="K46" s="57" t="str">
        <f t="shared" si="42"/>
        <v/>
      </c>
      <c r="L46" s="57"/>
      <c r="M46" s="57"/>
      <c r="R46" s="57"/>
      <c r="U46" s="685"/>
      <c r="AA46" s="56"/>
      <c r="AB46" s="56"/>
      <c r="AC46" s="56"/>
      <c r="AD46" s="56"/>
      <c r="AE46" s="56"/>
    </row>
    <row r="47" s="53" customFormat="1" ht="11.25" customHeight="1">
      <c r="A47" s="724" t="s">
        <v>555</v>
      </c>
      <c r="C47" s="57"/>
      <c r="D47" s="725"/>
      <c r="E47" s="686" t="str">
        <f>FHD_NUM_P_11</f>
        <v>2.4</v>
      </c>
      <c r="F47" s="655" t="str">
        <f>FHD_P_11</f>
        <v xml:space="preserve">Расходы на приобретение холодной воды, используемой в технологическом процессе</v>
      </c>
      <c r="G47" s="156" t="s">
        <v>534</v>
      </c>
      <c r="H47" s="706"/>
      <c r="I47" s="706"/>
      <c r="J47" s="484" t="str">
        <f>FHD_NOTE_P_11</f>
        <v/>
      </c>
      <c r="K47" s="57" t="str">
        <f t="shared" si="42"/>
        <v>p</v>
      </c>
      <c r="L47" s="57"/>
      <c r="M47" s="57"/>
      <c r="R47" s="57"/>
      <c r="U47" s="685"/>
      <c r="AA47" s="56"/>
      <c r="AB47" s="56"/>
      <c r="AC47" s="56"/>
      <c r="AD47" s="56"/>
      <c r="AE47" s="56"/>
    </row>
    <row r="48" s="53" customFormat="1" ht="22.5" customHeight="1">
      <c r="A48" s="724" t="s">
        <v>556</v>
      </c>
      <c r="C48" s="57"/>
      <c r="D48" s="124"/>
      <c r="E48" s="686" t="str">
        <f>FHD_NUM_P_12</f>
        <v>2.5</v>
      </c>
      <c r="F48" s="655" t="str">
        <f>FHD_P_12</f>
        <v xml:space="preserve">Расходы на химические реагенты, используемые в технологическом процессе</v>
      </c>
      <c r="G48" s="156" t="s">
        <v>534</v>
      </c>
      <c r="H48" s="726"/>
      <c r="I48" s="726"/>
      <c r="J48" s="484" t="str">
        <f>FHD_NOTE_P_12</f>
        <v/>
      </c>
      <c r="K48" s="57" t="str">
        <f t="shared" si="42"/>
        <v>p</v>
      </c>
      <c r="L48" s="57"/>
      <c r="M48" s="57"/>
      <c r="R48" s="57"/>
      <c r="U48" s="685"/>
      <c r="AA48" s="56"/>
      <c r="AB48" s="56"/>
      <c r="AC48" s="56"/>
      <c r="AD48" s="56"/>
      <c r="AE48" s="56"/>
    </row>
    <row r="49" s="481" customFormat="1" ht="45" customHeight="1">
      <c r="A49" s="727"/>
      <c r="C49" s="463"/>
      <c r="D49" s="269"/>
      <c r="E49" s="686" t="str">
        <f>FHD_NUM_P_13</f>
        <v>2.6</v>
      </c>
      <c r="F49" s="655" t="str">
        <f>FHD_P_13</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 t="s">
        <v>534</v>
      </c>
      <c r="H49" s="706"/>
      <c r="I49" s="706"/>
      <c r="J49" s="484" t="str">
        <f>FHD_NOTE_P_13</f>
        <v/>
      </c>
      <c r="K49" s="57" t="str">
        <f t="shared" si="42"/>
        <v>p</v>
      </c>
      <c r="L49" s="463"/>
      <c r="M49" s="463"/>
      <c r="R49" s="463"/>
      <c r="U49" s="728"/>
      <c r="AA49" s="48"/>
      <c r="AB49" s="48"/>
      <c r="AC49" s="48"/>
      <c r="AD49" s="48"/>
      <c r="AE49" s="48"/>
    </row>
    <row r="50" s="481" customFormat="1" ht="22.5" customHeight="1">
      <c r="A50" s="727"/>
      <c r="C50" s="463"/>
      <c r="D50" s="269"/>
      <c r="E50" s="686" t="str">
        <f>FHD_NUM_P_14</f>
        <v>2.6.1</v>
      </c>
      <c r="F50" s="722" t="str">
        <f>FHD_P_14</f>
        <v xml:space="preserve">Расходы на оплату труда основного производственного персонала</v>
      </c>
      <c r="G50" s="156" t="s">
        <v>534</v>
      </c>
      <c r="H50" s="706"/>
      <c r="I50" s="706"/>
      <c r="J50" s="484" t="str">
        <f>FHD_NOTE_P_14</f>
        <v/>
      </c>
      <c r="K50" s="57" t="str">
        <f t="shared" si="42"/>
        <v/>
      </c>
      <c r="L50" s="463"/>
      <c r="M50" s="463"/>
      <c r="R50" s="463"/>
      <c r="U50" s="728"/>
      <c r="AA50" s="48"/>
      <c r="AB50" s="48"/>
      <c r="AC50" s="48"/>
      <c r="AD50" s="48"/>
      <c r="AE50" s="48"/>
    </row>
    <row r="51" s="481" customFormat="1" ht="33.75" customHeight="1">
      <c r="A51" s="727"/>
      <c r="C51" s="463"/>
      <c r="D51" s="269"/>
      <c r="E51" s="686" t="str">
        <f>FHD_NUM_P_15</f>
        <v>2.6.2</v>
      </c>
      <c r="F51" s="722" t="str">
        <f>FHD_P_15</f>
        <v xml:space="preserve">Страховые взносы на обязательное социальное страхование, выплачиваемые из фонда оплаты труда основного производственного персонала</v>
      </c>
      <c r="G51" s="156" t="s">
        <v>534</v>
      </c>
      <c r="H51" s="706"/>
      <c r="I51" s="706"/>
      <c r="J51" s="484" t="str">
        <f>FHD_NOTE_P_15</f>
        <v/>
      </c>
      <c r="K51" s="57" t="str">
        <f t="shared" si="42"/>
        <v/>
      </c>
      <c r="L51" s="463"/>
      <c r="M51" s="463"/>
      <c r="R51" s="463"/>
      <c r="U51" s="728"/>
      <c r="AA51" s="48"/>
      <c r="AB51" s="48"/>
      <c r="AC51" s="48"/>
      <c r="AD51" s="48"/>
      <c r="AE51" s="48"/>
    </row>
    <row r="52" s="53" customFormat="1" ht="45" customHeight="1">
      <c r="A52" s="684"/>
      <c r="C52" s="57"/>
      <c r="D52" s="124"/>
      <c r="E52" s="686" t="str">
        <f>FHD_NUM_P_16</f>
        <v>2.7</v>
      </c>
      <c r="F52" s="655" t="str">
        <f>FHD_P_16</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6" t="s">
        <v>534</v>
      </c>
      <c r="H52" s="706"/>
      <c r="I52" s="706"/>
      <c r="J52" s="484" t="str">
        <f>FHD_NOTE_P_16</f>
        <v/>
      </c>
      <c r="K52" s="57" t="str">
        <f t="shared" si="42"/>
        <v>p</v>
      </c>
      <c r="L52" s="57"/>
      <c r="M52" s="57"/>
      <c r="N52" s="53"/>
      <c r="O52" s="53"/>
      <c r="R52" s="57"/>
      <c r="U52" s="685"/>
      <c r="AA52" s="56"/>
      <c r="AB52" s="56"/>
      <c r="AC52" s="56"/>
      <c r="AD52" s="56"/>
      <c r="AE52" s="56"/>
    </row>
    <row r="53" s="53" customFormat="1" ht="22.5" customHeight="1">
      <c r="A53" s="684"/>
      <c r="C53" s="57"/>
      <c r="D53" s="124"/>
      <c r="E53" s="686" t="str">
        <f>FHD_NUM_P_17</f>
        <v>2.7.1</v>
      </c>
      <c r="F53" s="722" t="str">
        <f>FHD_P_17</f>
        <v xml:space="preserve">Расходы на оплату труда административно-управленческого персонала</v>
      </c>
      <c r="G53" s="156" t="s">
        <v>534</v>
      </c>
      <c r="H53" s="706"/>
      <c r="I53" s="706"/>
      <c r="J53" s="484" t="str">
        <f>FHD_NOTE_P_17</f>
        <v/>
      </c>
      <c r="K53" s="57" t="str">
        <f t="shared" si="42"/>
        <v/>
      </c>
      <c r="L53" s="57"/>
      <c r="M53" s="57"/>
      <c r="N53" s="53"/>
      <c r="O53" s="53"/>
      <c r="R53" s="57"/>
      <c r="U53" s="685"/>
      <c r="AA53" s="56"/>
      <c r="AB53" s="56"/>
      <c r="AC53" s="56"/>
      <c r="AD53" s="56"/>
      <c r="AE53" s="56"/>
    </row>
    <row r="54" s="53" customFormat="1" ht="33.75" customHeight="1">
      <c r="A54" s="684"/>
      <c r="C54" s="57"/>
      <c r="D54" s="124"/>
      <c r="E54" s="686" t="str">
        <f>FHD_NUM_P_18</f>
        <v>2.7.2</v>
      </c>
      <c r="F54" s="722" t="str">
        <f>FHD_P_18</f>
        <v xml:space="preserve">Страховые взносы на обязательное социальное страхование, выплачиваемые из фонда оплаты труда административно-управленческого персонала</v>
      </c>
      <c r="G54" s="156" t="s">
        <v>534</v>
      </c>
      <c r="H54" s="706"/>
      <c r="I54" s="706"/>
      <c r="J54" s="484" t="str">
        <f>FHD_NOTE_P_18</f>
        <v/>
      </c>
      <c r="K54" s="57" t="str">
        <f t="shared" si="42"/>
        <v/>
      </c>
      <c r="L54" s="57"/>
      <c r="M54" s="57"/>
      <c r="N54" s="53"/>
      <c r="O54" s="53"/>
      <c r="R54" s="57"/>
      <c r="U54" s="685"/>
      <c r="AA54" s="56"/>
      <c r="AB54" s="56"/>
      <c r="AC54" s="56"/>
      <c r="AD54" s="56"/>
      <c r="AE54" s="56"/>
    </row>
    <row r="55" s="53" customFormat="1" ht="22.5" customHeight="1">
      <c r="A55" s="684"/>
      <c r="C55" s="57"/>
      <c r="D55" s="725"/>
      <c r="E55" s="686" t="str">
        <f>FHD_NUM_P_19</f>
        <v>2.8</v>
      </c>
      <c r="F55" s="655" t="str">
        <f>FHD_P_19</f>
        <v xml:space="preserve">Расходы на амортизацию основных средств и нематериальных активов</v>
      </c>
      <c r="G55" s="156" t="s">
        <v>534</v>
      </c>
      <c r="H55" s="706"/>
      <c r="I55" s="706"/>
      <c r="J55" s="484" t="str">
        <f>FHD_NOTE_P_19</f>
        <v/>
      </c>
      <c r="K55" s="57" t="str">
        <f t="shared" si="42"/>
        <v>p</v>
      </c>
      <c r="L55" s="57"/>
      <c r="M55" s="57"/>
      <c r="R55" s="57"/>
      <c r="U55" s="685"/>
      <c r="AA55" s="56"/>
      <c r="AB55" s="56"/>
      <c r="AC55" s="56"/>
      <c r="AD55" s="56"/>
      <c r="AE55" s="56"/>
    </row>
    <row r="56" s="53" customFormat="1" ht="11.25" customHeight="1">
      <c r="A56" s="684"/>
      <c r="C56" s="57"/>
      <c r="D56" s="725"/>
      <c r="E56" s="686" t="str">
        <f>FHD_NUM_P_20</f>
        <v>2.8.1</v>
      </c>
      <c r="F56" s="722" t="str">
        <f>FHD_P_20</f>
        <v xml:space="preserve">Расходы на амортизацию основных средств</v>
      </c>
      <c r="G56" s="156" t="s">
        <v>534</v>
      </c>
      <c r="H56" s="706"/>
      <c r="I56" s="706"/>
      <c r="J56" s="484" t="str">
        <f>FHD_NOTE_P_20</f>
        <v/>
      </c>
      <c r="K56" s="57" t="str">
        <f t="shared" si="42"/>
        <v/>
      </c>
      <c r="L56" s="57"/>
      <c r="M56" s="57"/>
      <c r="R56" s="57"/>
      <c r="U56" s="685"/>
      <c r="AA56" s="56"/>
      <c r="AB56" s="56"/>
      <c r="AC56" s="56"/>
      <c r="AD56" s="56"/>
      <c r="AE56" s="56"/>
    </row>
    <row r="57" s="53" customFormat="1" ht="11.25" customHeight="1">
      <c r="A57" s="684"/>
      <c r="C57" s="57"/>
      <c r="D57" s="725"/>
      <c r="E57" s="686" t="str">
        <f>FHD_NUM_P_21</f>
        <v>2.8.2</v>
      </c>
      <c r="F57" s="722" t="str">
        <f>FHD_P_21</f>
        <v xml:space="preserve">Расходы на амортизацию нематериальных активов</v>
      </c>
      <c r="G57" s="156" t="s">
        <v>534</v>
      </c>
      <c r="H57" s="706"/>
      <c r="I57" s="706"/>
      <c r="J57" s="484" t="str">
        <f>FHD_NOTE_P_21</f>
        <v/>
      </c>
      <c r="K57" s="57" t="str">
        <f t="shared" si="42"/>
        <v/>
      </c>
      <c r="L57" s="57"/>
      <c r="M57" s="57"/>
      <c r="R57" s="57"/>
      <c r="U57" s="685"/>
      <c r="AA57" s="56"/>
      <c r="AB57" s="56"/>
      <c r="AC57" s="56"/>
      <c r="AD57" s="56"/>
      <c r="AE57" s="56"/>
    </row>
    <row r="58" s="53" customFormat="1" ht="22.5" customHeight="1">
      <c r="A58" s="684"/>
      <c r="C58" s="57"/>
      <c r="D58" s="124"/>
      <c r="E58" s="686" t="str">
        <f>FHD_NUM_P_22</f>
        <v>2.9</v>
      </c>
      <c r="F58" s="655" t="str">
        <f>FHD_P_22</f>
        <v xml:space="preserve">Расходы на аренду имущества, используемого для осуществления регулируемого вида деятельности</v>
      </c>
      <c r="G58" s="156" t="s">
        <v>534</v>
      </c>
      <c r="H58" s="706"/>
      <c r="I58" s="706"/>
      <c r="J58" s="484" t="str">
        <f>FHD_NOTE_P_22</f>
        <v/>
      </c>
      <c r="K58" s="57" t="str">
        <f t="shared" si="42"/>
        <v>p</v>
      </c>
      <c r="L58" s="57"/>
      <c r="M58" s="57"/>
      <c r="R58" s="57"/>
      <c r="U58" s="685"/>
      <c r="AA58" s="56"/>
      <c r="AB58" s="56"/>
      <c r="AC58" s="56"/>
      <c r="AD58" s="56"/>
      <c r="AE58" s="56"/>
    </row>
    <row r="59" s="53" customFormat="1" ht="11.25" customHeight="1">
      <c r="A59" s="684"/>
      <c r="C59" s="57"/>
      <c r="D59" s="725"/>
      <c r="E59" s="686" t="str">
        <f>FHD_NUM_P_23</f>
        <v>2.10</v>
      </c>
      <c r="F59" s="655" t="str">
        <f>FHD_P_23</f>
        <v xml:space="preserve">Общепроизводственные расходы, в том числе:</v>
      </c>
      <c r="G59" s="156" t="s">
        <v>534</v>
      </c>
      <c r="H59" s="706"/>
      <c r="I59" s="706"/>
      <c r="J59" s="484" t="str">
        <f>FHD_NOTE_P_23</f>
        <v xml:space="preserve">Указывается общая сумма общепроизводственных расходов.</v>
      </c>
      <c r="K59" s="57" t="str">
        <f t="shared" si="42"/>
        <v>p</v>
      </c>
      <c r="L59" s="57"/>
      <c r="M59" s="57"/>
      <c r="R59" s="57"/>
      <c r="U59" s="685"/>
      <c r="AA59" s="56"/>
      <c r="AB59" s="56"/>
      <c r="AC59" s="56"/>
      <c r="AD59" s="56"/>
      <c r="AE59" s="56"/>
    </row>
    <row r="60" s="53" customFormat="1" ht="11.25" customHeight="1">
      <c r="A60" s="684"/>
      <c r="C60" s="57"/>
      <c r="D60" s="725"/>
      <c r="E60" s="686" t="str">
        <f>FHD_NUM_P_24</f>
        <v>2.10.1</v>
      </c>
      <c r="F60" s="722" t="str">
        <f>FHD_P_24</f>
        <v xml:space="preserve">Расходы на текущий ремонт</v>
      </c>
      <c r="G60" s="156" t="s">
        <v>534</v>
      </c>
      <c r="H60" s="706"/>
      <c r="I60" s="706"/>
      <c r="J60" s="484" t="str">
        <f>FHD_NOTE_P_24</f>
        <v xml:space="preserve">Указываются расходы на текущий ремонт, отнесенные к общепроизводственным расходам.</v>
      </c>
      <c r="K60" s="57" t="str">
        <f t="shared" si="42"/>
        <v/>
      </c>
      <c r="L60" s="57"/>
      <c r="M60" s="57"/>
      <c r="R60" s="57"/>
      <c r="U60" s="685"/>
      <c r="AA60" s="56"/>
      <c r="AB60" s="56"/>
      <c r="AC60" s="56"/>
      <c r="AD60" s="56"/>
      <c r="AE60" s="56"/>
    </row>
    <row r="61" s="53" customFormat="1" ht="11.25" customHeight="1">
      <c r="A61" s="684"/>
      <c r="C61" s="57"/>
      <c r="D61" s="725"/>
      <c r="E61" s="686" t="str">
        <f>FHD_NUM_P_25</f>
        <v>2.10.2</v>
      </c>
      <c r="F61" s="722" t="str">
        <f>FHD_P_25</f>
        <v xml:space="preserve">Расходы на капитальный ремонт</v>
      </c>
      <c r="G61" s="156" t="s">
        <v>534</v>
      </c>
      <c r="H61" s="706"/>
      <c r="I61" s="706"/>
      <c r="J61" s="484" t="str">
        <f>FHD_NOTE_P_25</f>
        <v xml:space="preserve">Указываются расходы на капитальный ремонт, отнесенные к общепроизводственным расходам.</v>
      </c>
      <c r="K61" s="57" t="str">
        <f t="shared" si="42"/>
        <v/>
      </c>
      <c r="L61" s="57"/>
      <c r="M61" s="57"/>
      <c r="R61" s="57"/>
      <c r="U61" s="685"/>
      <c r="AA61" s="56"/>
      <c r="AB61" s="56"/>
      <c r="AC61" s="56"/>
      <c r="AD61" s="56"/>
      <c r="AE61" s="56"/>
    </row>
    <row r="62" s="53" customFormat="1" ht="11.25" customHeight="1">
      <c r="A62" s="684"/>
      <c r="C62" s="57"/>
      <c r="D62" s="124"/>
      <c r="E62" s="686" t="str">
        <f>FHD_NUM_P_26</f>
        <v>2.11</v>
      </c>
      <c r="F62" s="655" t="str">
        <f>FHD_P_26</f>
        <v xml:space="preserve">Общехозяйственные расходы, в том числе:</v>
      </c>
      <c r="G62" s="156" t="s">
        <v>534</v>
      </c>
      <c r="H62" s="706"/>
      <c r="I62" s="706"/>
      <c r="J62" s="484" t="str">
        <f>FHD_NOTE_P_26</f>
        <v xml:space="preserve">Указывается общая сумма общехозяйственных расходов.</v>
      </c>
      <c r="K62" s="57" t="str">
        <f t="shared" si="42"/>
        <v>p</v>
      </c>
      <c r="L62" s="57"/>
      <c r="M62" s="57"/>
      <c r="R62" s="57"/>
      <c r="U62" s="685"/>
      <c r="AA62" s="56"/>
      <c r="AB62" s="56"/>
      <c r="AC62" s="56"/>
      <c r="AD62" s="56"/>
      <c r="AE62" s="56"/>
    </row>
    <row r="63" s="53" customFormat="1" ht="11.25" customHeight="1">
      <c r="A63" s="684"/>
      <c r="C63" s="57"/>
      <c r="D63" s="124"/>
      <c r="E63" s="686" t="str">
        <f>FHD_NUM_P_27</f>
        <v>2.11.1</v>
      </c>
      <c r="F63" s="722" t="str">
        <f>FHD_P_27</f>
        <v xml:space="preserve">Расходы на текущий ремонт</v>
      </c>
      <c r="G63" s="156" t="s">
        <v>534</v>
      </c>
      <c r="H63" s="706"/>
      <c r="I63" s="706"/>
      <c r="J63" s="484" t="str">
        <f>FHD_NOTE_P_27</f>
        <v xml:space="preserve">Указываются расходы на текущий ремонт, отнесенные к общехозяйственным расходам.</v>
      </c>
      <c r="K63" s="57" t="str">
        <f t="shared" si="42"/>
        <v/>
      </c>
      <c r="L63" s="57"/>
      <c r="M63" s="57"/>
      <c r="R63" s="57"/>
      <c r="U63" s="685"/>
      <c r="AA63" s="56"/>
      <c r="AB63" s="56"/>
      <c r="AC63" s="56"/>
      <c r="AD63" s="56"/>
      <c r="AE63" s="56"/>
    </row>
    <row r="64" s="53" customFormat="1" ht="11.25" customHeight="1">
      <c r="A64" s="684"/>
      <c r="C64" s="57"/>
      <c r="D64" s="124"/>
      <c r="E64" s="686" t="str">
        <f>FHD_NUM_P_28</f>
        <v>2.11.2</v>
      </c>
      <c r="F64" s="722" t="str">
        <f>FHD_P_28</f>
        <v xml:space="preserve">Расходы на капитальный ремонт</v>
      </c>
      <c r="G64" s="156" t="s">
        <v>534</v>
      </c>
      <c r="H64" s="706"/>
      <c r="I64" s="706"/>
      <c r="J64" s="484" t="str">
        <f>FHD_NOTE_P_28</f>
        <v xml:space="preserve">Указываются расходы на капитальный ремонт, отнесенные к общехозяйственным расходам.</v>
      </c>
      <c r="K64" s="57" t="str">
        <f t="shared" si="42"/>
        <v/>
      </c>
      <c r="L64" s="57"/>
      <c r="M64" s="57"/>
      <c r="R64" s="57"/>
      <c r="U64" s="685"/>
      <c r="AA64" s="56"/>
      <c r="AB64" s="56"/>
      <c r="AC64" s="56"/>
      <c r="AD64" s="56"/>
      <c r="AE64" s="56"/>
    </row>
    <row r="65" s="53" customFormat="1" ht="22.5" customHeight="1">
      <c r="A65" s="684"/>
      <c r="C65" s="57"/>
      <c r="D65" s="124"/>
      <c r="E65" s="686" t="str">
        <f>FHD_NUM_P_29</f>
        <v>2.12</v>
      </c>
      <c r="F65" s="655" t="str">
        <f>FHD_P_29</f>
        <v xml:space="preserve">Расходы на капитальный и текущий ремонт основных средств</v>
      </c>
      <c r="G65" s="156" t="s">
        <v>534</v>
      </c>
      <c r="H65" s="706"/>
      <c r="I65" s="706"/>
      <c r="J65" s="484" t="str">
        <f>FHD_NOTE_P_29</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57" t="str">
        <f t="shared" si="42"/>
        <v>p</v>
      </c>
      <c r="L65" s="57"/>
      <c r="M65" s="57"/>
      <c r="R65" s="57"/>
      <c r="U65" s="685"/>
      <c r="AA65" s="56"/>
      <c r="AB65" s="56"/>
      <c r="AC65" s="56"/>
      <c r="AD65" s="56"/>
      <c r="AE65" s="56"/>
    </row>
    <row r="66" s="53" customFormat="1" ht="45" customHeight="1">
      <c r="A66" s="684"/>
      <c r="C66" s="57"/>
      <c r="D66" s="124"/>
      <c r="E66" s="686" t="str">
        <f>FHD_NUM_P_30</f>
        <v>2.12.1</v>
      </c>
      <c r="F66" s="722" t="str">
        <f>FHD_P_30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 t="s">
        <v>294</v>
      </c>
      <c r="H66" s="384" t="s">
        <v>557</v>
      </c>
      <c r="I66" s="384" t="s">
        <v>557</v>
      </c>
      <c r="J66" s="484" t="str">
        <f>FHD_NOTE_P_30</f>
        <v/>
      </c>
      <c r="K66" s="57" t="str">
        <f t="shared" si="42"/>
        <v/>
      </c>
      <c r="L66" s="57">
        <f>_xlfn.IFERROR(MATCH("есть",B_FHD_FLAG_INDEX_1,0),0)</f>
        <v>0</v>
      </c>
      <c r="M66" s="57"/>
      <c r="R66" s="57"/>
      <c r="U66" s="685"/>
      <c r="AA66" s="56"/>
      <c r="AB66" s="56"/>
      <c r="AC66" s="56"/>
      <c r="AD66" s="56"/>
      <c r="AE66" s="56"/>
    </row>
    <row r="67" s="53" customFormat="1" ht="22.5" hidden="1" customHeight="1">
      <c r="A67" s="708" t="s">
        <v>558</v>
      </c>
      <c r="C67" s="57"/>
      <c r="D67" s="124"/>
      <c r="E67" s="686" t="str">
        <f>FHD_NUM_P_31</f>
        <v/>
      </c>
      <c r="F67" s="655" t="str">
        <f>FHD_P_31</f>
        <v/>
      </c>
      <c r="G67" s="156" t="s">
        <v>534</v>
      </c>
      <c r="H67" s="706"/>
      <c r="I67" s="706"/>
      <c r="J67" s="484" t="str">
        <f>FHD_NOTE_P_31</f>
        <v/>
      </c>
      <c r="K67" s="57" t="str">
        <f t="shared" si="42"/>
        <v/>
      </c>
      <c r="L67" s="57"/>
      <c r="M67" s="57"/>
      <c r="R67" s="57"/>
      <c r="U67" s="685"/>
      <c r="AA67" s="56"/>
      <c r="AB67" s="56"/>
      <c r="AC67" s="56"/>
      <c r="AD67" s="56"/>
      <c r="AE67" s="56"/>
    </row>
    <row r="68" s="53" customFormat="1" ht="45" hidden="1" customHeight="1">
      <c r="A68" s="708"/>
      <c r="C68" s="57"/>
      <c r="D68" s="124"/>
      <c r="E68" s="686" t="str">
        <f>FHD_NUM_P_32</f>
        <v/>
      </c>
      <c r="F68" s="722" t="str">
        <f>FHD_P_32</f>
        <v/>
      </c>
      <c r="G68" s="156" t="s">
        <v>294</v>
      </c>
      <c r="H68" s="384" t="s">
        <v>557</v>
      </c>
      <c r="I68" s="384" t="s">
        <v>557</v>
      </c>
      <c r="J68" s="484" t="str">
        <f>FHD_NOTE_P_32</f>
        <v/>
      </c>
      <c r="K68" s="57" t="str">
        <f t="shared" si="42"/>
        <v/>
      </c>
      <c r="L68" s="57">
        <f>_xlfn.IFERROR(MATCH("есть",B_FHD_FLAG_INDEX_2,0),0)</f>
        <v>0</v>
      </c>
      <c r="M68" s="57"/>
      <c r="R68" s="57"/>
      <c r="U68" s="685"/>
      <c r="AA68" s="56"/>
      <c r="AB68" s="56"/>
      <c r="AC68" s="56"/>
      <c r="AD68" s="56"/>
      <c r="AE68" s="56"/>
    </row>
    <row r="69" s="53" customFormat="1" ht="33.75" customHeight="1">
      <c r="A69" s="684"/>
      <c r="C69" s="57"/>
      <c r="D69" s="124"/>
      <c r="E69" s="686" t="str">
        <f>FHD_NUM_P_33</f>
        <v>2.13</v>
      </c>
      <c r="F69" s="655" t="str">
        <f>FHD_P_33</f>
        <v xml:space="preserve">Прочие расходы, которые подлежат отнесению на регулируемые виды деятельности в соответствии с законодательством Российской Федерации</v>
      </c>
      <c r="G69" s="306" t="s">
        <v>534</v>
      </c>
      <c r="H69" s="729">
        <f>SUM(H70:H71)</f>
        <v>0</v>
      </c>
      <c r="I69" s="729">
        <f>SUM(I70:I71)</f>
        <v>0</v>
      </c>
      <c r="J69" s="484" t="str">
        <f>FHD_NOTE_P_33</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57" t="str">
        <f t="shared" si="42"/>
        <v>p</v>
      </c>
      <c r="L69" s="57"/>
      <c r="M69" s="57"/>
      <c r="R69" s="57"/>
      <c r="U69" s="685"/>
      <c r="AA69" s="56"/>
      <c r="AB69" s="56"/>
      <c r="AC69" s="56"/>
      <c r="AD69" s="56"/>
      <c r="AE69" s="56"/>
    </row>
    <row r="70" s="57" customFormat="1" ht="0.75" customHeight="1">
      <c r="A70" s="529"/>
      <c r="D70" s="529"/>
      <c r="E70" s="157" t="str">
        <f>E69&amp;".0"</f>
        <v>2.13.0</v>
      </c>
      <c r="F70" s="730"/>
      <c r="G70" s="157"/>
      <c r="H70" s="731"/>
      <c r="I70" s="731"/>
      <c r="J70" s="732"/>
      <c r="K70" s="57" t="str">
        <f t="shared" si="42"/>
        <v/>
      </c>
    </row>
    <row r="71" s="53" customFormat="1" ht="14.25" customHeight="1">
      <c r="A71" s="684"/>
      <c r="C71" s="57"/>
      <c r="D71" s="127"/>
      <c r="E71" s="719"/>
      <c r="F71" s="236" t="s">
        <v>559</v>
      </c>
      <c r="G71" s="720"/>
      <c r="H71" s="721"/>
      <c r="I71" s="721"/>
      <c r="J71" s="547"/>
      <c r="K71" s="57"/>
      <c r="L71" s="57"/>
      <c r="M71" s="57"/>
      <c r="R71" s="57"/>
      <c r="U71" s="685"/>
      <c r="AA71" s="56"/>
      <c r="AB71" s="56"/>
      <c r="AC71" s="56"/>
      <c r="AD71" s="56"/>
      <c r="AE71" s="56"/>
    </row>
    <row r="72" s="53" customFormat="1" ht="18.75" customHeight="1">
      <c r="A72" s="724" t="s">
        <v>560</v>
      </c>
      <c r="C72" s="57"/>
      <c r="D72" s="124"/>
      <c r="E72" s="686" t="str">
        <f>FHD_NUM_P_34</f>
        <v>3</v>
      </c>
      <c r="F72" s="312" t="str">
        <f>FHD_P_34</f>
        <v xml:space="preserve">Валовая прибыль (убытки) от реализации товаров и оказания услуг по регулируемому виду деятельности</v>
      </c>
      <c r="G72" s="156" t="s">
        <v>534</v>
      </c>
      <c r="H72" s="706"/>
      <c r="I72" s="706"/>
      <c r="J72" s="484" t="str">
        <f>FHD_NOTE_P_34</f>
        <v/>
      </c>
      <c r="K72" s="688"/>
      <c r="L72" s="57"/>
      <c r="M72" s="57"/>
      <c r="R72" s="57"/>
      <c r="U72" s="685"/>
      <c r="AA72" s="56"/>
      <c r="AB72" s="56"/>
      <c r="AC72" s="56"/>
      <c r="AD72" s="56"/>
      <c r="AE72" s="56"/>
    </row>
    <row r="73" s="53" customFormat="1" ht="22.5" customHeight="1">
      <c r="A73" s="684"/>
      <c r="C73" s="57"/>
      <c r="D73" s="725"/>
      <c r="E73" s="686" t="str">
        <f>FHD_NUM_P_35</f>
        <v>4</v>
      </c>
      <c r="F73" s="312" t="str">
        <f>FHD_P_35</f>
        <v xml:space="preserve">Чистая прибыль, полученная от регулируемого вида деятельности, в том числе:</v>
      </c>
      <c r="G73" s="156" t="s">
        <v>534</v>
      </c>
      <c r="H73" s="706"/>
      <c r="I73" s="706"/>
      <c r="J73" s="484" t="str">
        <f>FHD_NOTE_P_35</f>
        <v xml:space="preserve">Указывается общая сумма чистой прибыли, полученной от регулируемого вида деятельности.</v>
      </c>
      <c r="K73" s="688"/>
      <c r="L73" s="57"/>
      <c r="M73" s="57"/>
      <c r="R73" s="57"/>
      <c r="U73" s="685"/>
      <c r="AA73" s="56"/>
      <c r="AB73" s="56"/>
      <c r="AC73" s="56"/>
      <c r="AD73" s="56"/>
      <c r="AE73" s="56"/>
    </row>
    <row r="74" s="53" customFormat="1" ht="33.75" customHeight="1">
      <c r="A74" s="684"/>
      <c r="C74" s="57"/>
      <c r="D74" s="124"/>
      <c r="E74" s="686" t="str">
        <f>FHD_NUM_P_36</f>
        <v>4.1</v>
      </c>
      <c r="F74" s="655" t="str">
        <f>FHD_P_36</f>
        <v xml:space="preserve">Размер расходования чистой прибыли на финансирование мероприятий, предусмотренных инвестиционной программой регулируемой организации</v>
      </c>
      <c r="G74" s="156" t="s">
        <v>534</v>
      </c>
      <c r="H74" s="706"/>
      <c r="I74" s="706"/>
      <c r="J74" s="484" t="str">
        <f>FHD_NOTE_P_36</f>
        <v/>
      </c>
      <c r="K74" s="688"/>
      <c r="L74" s="57"/>
      <c r="M74" s="57"/>
      <c r="R74" s="57"/>
      <c r="U74" s="685"/>
      <c r="AA74" s="56"/>
      <c r="AB74" s="56"/>
      <c r="AC74" s="56"/>
      <c r="AD74" s="56"/>
      <c r="AE74" s="56"/>
    </row>
    <row r="75" s="53" customFormat="1" ht="18.75" customHeight="1">
      <c r="A75" s="684"/>
      <c r="C75" s="57"/>
      <c r="D75" s="124"/>
      <c r="E75" s="686" t="str">
        <f>FHD_NUM_P_37</f>
        <v>5</v>
      </c>
      <c r="F75" s="312" t="str">
        <f>FHD_P_37</f>
        <v xml:space="preserve">Изменение стоимости основных фондов, в том числе:</v>
      </c>
      <c r="G75" s="156" t="s">
        <v>534</v>
      </c>
      <c r="H75" s="706"/>
      <c r="I75" s="706"/>
      <c r="J75" s="484" t="str">
        <f>FHD_NOTE_P_37</f>
        <v xml:space="preserve">Указывается общее изменение стоимости основных фондов.</v>
      </c>
      <c r="K75" s="688"/>
      <c r="L75" s="57"/>
      <c r="M75" s="57"/>
      <c r="R75" s="57"/>
      <c r="U75" s="685"/>
      <c r="AA75" s="56"/>
      <c r="AB75" s="56"/>
      <c r="AC75" s="56"/>
      <c r="AD75" s="56"/>
      <c r="AE75" s="56"/>
    </row>
    <row r="76" s="53" customFormat="1" ht="18.75" customHeight="1">
      <c r="A76" s="684"/>
      <c r="C76" s="57"/>
      <c r="D76" s="124"/>
      <c r="E76" s="686" t="str">
        <f>FHD_NUM_P_38</f>
        <v>5.1</v>
      </c>
      <c r="F76" s="655" t="str">
        <f>FHD_P_38</f>
        <v xml:space="preserve">Изменение стоимости основных фондов за счет:</v>
      </c>
      <c r="G76" s="156" t="s">
        <v>534</v>
      </c>
      <c r="H76" s="706"/>
      <c r="I76" s="706"/>
      <c r="J76" s="484" t="str">
        <f>FHD_NOTE_P_38</f>
        <v xml:space="preserve">Указываются общее изменение стоимости основных фондов за счет их ввода в эксплуатацию и вывода из эксплуатации.</v>
      </c>
      <c r="K76" s="688"/>
      <c r="L76" s="57"/>
      <c r="M76" s="57"/>
      <c r="R76" s="57"/>
      <c r="U76" s="685"/>
      <c r="AA76" s="56"/>
      <c r="AB76" s="56"/>
      <c r="AC76" s="56"/>
      <c r="AD76" s="56"/>
      <c r="AE76" s="56"/>
    </row>
    <row r="77" s="53" customFormat="1" ht="22.5" customHeight="1">
      <c r="A77" s="684"/>
      <c r="C77" s="57"/>
      <c r="D77" s="124"/>
      <c r="E77" s="686" t="str">
        <f>FHD_NUM_P_39</f>
        <v>5.1.1</v>
      </c>
      <c r="F77" s="722" t="str">
        <f>FHD_P_39</f>
        <v xml:space="preserve">Изменения стоимости основных фондов за счет их ввода в эксплуатацию</v>
      </c>
      <c r="G77" s="156" t="s">
        <v>534</v>
      </c>
      <c r="H77" s="706"/>
      <c r="I77" s="706"/>
      <c r="J77" s="484" t="str">
        <f>FHD_NOTE_P_39</f>
        <v xml:space="preserve">Указываются изменение стоимости основных фондов за счет их ввода в эксплуатацию.</v>
      </c>
      <c r="K77" s="688"/>
      <c r="L77" s="57"/>
      <c r="M77" s="57"/>
      <c r="R77" s="57"/>
      <c r="U77" s="685"/>
      <c r="AA77" s="56"/>
      <c r="AB77" s="56"/>
      <c r="AC77" s="56"/>
      <c r="AD77" s="56"/>
      <c r="AE77" s="56"/>
    </row>
    <row r="78" s="53" customFormat="1" ht="22.5" customHeight="1">
      <c r="A78" s="684"/>
      <c r="C78" s="57"/>
      <c r="D78" s="124"/>
      <c r="E78" s="686" t="str">
        <f>FHD_NUM_P_40</f>
        <v>5.1.2</v>
      </c>
      <c r="F78" s="722" t="str">
        <f>FHD_P_40</f>
        <v xml:space="preserve">Изменения стоимости основных фондов за счет их вывода в эксплуатацию</v>
      </c>
      <c r="G78" s="156" t="s">
        <v>534</v>
      </c>
      <c r="H78" s="706"/>
      <c r="I78" s="706"/>
      <c r="J78" s="484" t="str">
        <f>FHD_NOTE_P_40</f>
        <v xml:space="preserve">Указываются изменение стоимости основных фондов за счет их вывода из эксплуатации.</v>
      </c>
      <c r="K78" s="688"/>
      <c r="L78" s="57"/>
      <c r="M78" s="57"/>
      <c r="R78" s="57"/>
      <c r="U78" s="685"/>
      <c r="AA78" s="56"/>
      <c r="AB78" s="56"/>
      <c r="AC78" s="56"/>
      <c r="AD78" s="56"/>
      <c r="AE78" s="56"/>
    </row>
    <row r="79" s="53" customFormat="1" ht="22.5" customHeight="1">
      <c r="A79" s="684"/>
      <c r="C79" s="57"/>
      <c r="D79" s="124"/>
      <c r="E79" s="686" t="str">
        <f>FHD_NUM_P_41</f>
        <v>5.2</v>
      </c>
      <c r="F79" s="655" t="str">
        <f>FHD_P_41</f>
        <v xml:space="preserve">Изменение стоимости основных фондов за счет их переоценки</v>
      </c>
      <c r="G79" s="306" t="s">
        <v>534</v>
      </c>
      <c r="H79" s="706"/>
      <c r="I79" s="706"/>
      <c r="J79" s="484" t="str">
        <f>FHD_NOTE_P_41</f>
        <v/>
      </c>
      <c r="K79" s="688"/>
      <c r="L79" s="57"/>
      <c r="M79" s="57"/>
      <c r="R79" s="57"/>
      <c r="U79" s="685"/>
      <c r="AA79" s="56"/>
      <c r="AB79" s="56"/>
      <c r="AC79" s="56"/>
      <c r="AD79" s="56"/>
      <c r="AE79" s="56"/>
    </row>
    <row r="80" s="53" customFormat="1" ht="18.75" hidden="1" customHeight="1">
      <c r="A80" s="724" t="s">
        <v>561</v>
      </c>
      <c r="C80" s="57"/>
      <c r="D80" s="124"/>
      <c r="E80" s="686" t="str">
        <f>FHD_NUM_P_42</f>
        <v/>
      </c>
      <c r="F80" s="312" t="str">
        <f>FHD_P_42</f>
        <v/>
      </c>
      <c r="G80" s="156" t="s">
        <v>534</v>
      </c>
      <c r="H80" s="733"/>
      <c r="I80" s="706"/>
      <c r="J80" s="484" t="str">
        <f>FHD_NOTE_P_42</f>
        <v/>
      </c>
      <c r="K80" s="688"/>
      <c r="L80" s="57"/>
      <c r="M80" s="57"/>
      <c r="R80" s="57"/>
      <c r="U80" s="685"/>
      <c r="AA80" s="56"/>
      <c r="AB80" s="56"/>
      <c r="AC80" s="56"/>
      <c r="AD80" s="56"/>
      <c r="AE80" s="56"/>
    </row>
    <row r="81" s="53" customFormat="1" ht="33.75" customHeight="1">
      <c r="A81" s="684"/>
      <c r="C81" s="57"/>
      <c r="D81" s="124"/>
      <c r="E81" s="686" t="str">
        <f>FHD_NUM_P_43</f>
        <v>6</v>
      </c>
      <c r="F81" s="312" t="str">
        <f>FHD_P_43</f>
        <v xml:space="preserve">Годовая бухгалтерская (финансовая) отчетность, включая бухгалтерский баланс и приложения к нему</v>
      </c>
      <c r="G81" s="156" t="s">
        <v>294</v>
      </c>
      <c r="H81" s="734"/>
      <c r="I81" s="735"/>
      <c r="J81" s="484" t="str">
        <f>FHD_NOTE_P_43</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88"/>
      <c r="L81" s="57"/>
      <c r="M81" s="57"/>
      <c r="R81" s="57"/>
      <c r="U81" s="685"/>
      <c r="AA81" s="56"/>
      <c r="AB81" s="56"/>
      <c r="AC81" s="56"/>
      <c r="AD81" s="56"/>
      <c r="AE81" s="56"/>
    </row>
    <row r="82" s="53" customFormat="1" ht="18.75" hidden="1" customHeight="1">
      <c r="A82" s="708" t="s">
        <v>562</v>
      </c>
      <c r="C82" s="57"/>
      <c r="D82" s="124"/>
      <c r="E82" s="686" t="str">
        <f>FHD_NUM_P_44</f>
        <v/>
      </c>
      <c r="F82" s="312" t="str">
        <f>FHD_P_44</f>
        <v/>
      </c>
      <c r="G82" s="156" t="s">
        <v>563</v>
      </c>
      <c r="H82" s="736"/>
      <c r="I82" s="726"/>
      <c r="J82" s="484" t="str">
        <f>FHD_NOTE_P_44</f>
        <v/>
      </c>
      <c r="K82" s="688"/>
      <c r="L82" s="57"/>
      <c r="M82" s="57"/>
      <c r="R82" s="57"/>
      <c r="U82" s="685"/>
      <c r="AA82" s="56"/>
      <c r="AB82" s="56"/>
      <c r="AC82" s="56"/>
      <c r="AD82" s="56"/>
      <c r="AE82" s="56"/>
    </row>
    <row r="83" s="53" customFormat="1" ht="18.75" hidden="1" customHeight="1">
      <c r="A83" s="708"/>
      <c r="C83" s="57"/>
      <c r="D83" s="124"/>
      <c r="E83" s="686" t="str">
        <f>FHD_NUM_P_45</f>
        <v/>
      </c>
      <c r="F83" s="312" t="str">
        <f>FHD_P_45</f>
        <v/>
      </c>
      <c r="G83" s="156" t="s">
        <v>563</v>
      </c>
      <c r="H83" s="736"/>
      <c r="I83" s="726"/>
      <c r="J83" s="484" t="str">
        <f>FHD_NOTE_P_45</f>
        <v/>
      </c>
      <c r="K83" s="688"/>
      <c r="L83" s="57"/>
      <c r="M83" s="57"/>
      <c r="R83" s="57"/>
      <c r="U83" s="685"/>
      <c r="AA83" s="56"/>
      <c r="AB83" s="56"/>
      <c r="AC83" s="56"/>
      <c r="AD83" s="56"/>
      <c r="AE83" s="56"/>
    </row>
    <row r="84" s="53" customFormat="1" ht="18.75" hidden="1" customHeight="1">
      <c r="A84" s="708"/>
      <c r="C84" s="57"/>
      <c r="D84" s="725"/>
      <c r="E84" s="686" t="str">
        <f>FHD_NUM_P_46</f>
        <v/>
      </c>
      <c r="F84" s="312" t="str">
        <f>FHD_P_46</f>
        <v/>
      </c>
      <c r="G84" s="156" t="s">
        <v>563</v>
      </c>
      <c r="H84" s="736"/>
      <c r="I84" s="726"/>
      <c r="J84" s="484" t="str">
        <f>FHD_NOTE_P_46</f>
        <v/>
      </c>
      <c r="K84" s="688"/>
      <c r="L84" s="57"/>
      <c r="M84" s="57"/>
      <c r="R84" s="57"/>
      <c r="U84" s="685"/>
      <c r="AA84" s="56"/>
      <c r="AB84" s="56"/>
      <c r="AC84" s="56"/>
      <c r="AD84" s="56"/>
      <c r="AE84" s="56"/>
    </row>
    <row r="85" s="53" customFormat="1" ht="18.75" hidden="1" customHeight="1">
      <c r="A85" s="708"/>
      <c r="C85" s="57"/>
      <c r="D85" s="124"/>
      <c r="E85" s="686" t="str">
        <f>FHD_NUM_P_47</f>
        <v/>
      </c>
      <c r="F85" s="312" t="str">
        <f>FHD_P_47</f>
        <v/>
      </c>
      <c r="G85" s="156" t="s">
        <v>563</v>
      </c>
      <c r="H85" s="736"/>
      <c r="I85" s="726"/>
      <c r="J85" s="484" t="str">
        <f>FHD_NOTE_P_47</f>
        <v/>
      </c>
      <c r="K85" s="688"/>
      <c r="L85" s="57"/>
      <c r="M85" s="57"/>
      <c r="R85" s="57"/>
      <c r="U85" s="685"/>
      <c r="AA85" s="56"/>
      <c r="AB85" s="56"/>
      <c r="AC85" s="56"/>
      <c r="AD85" s="56"/>
      <c r="AE85" s="56"/>
    </row>
    <row r="86" s="50" customFormat="1" ht="18.75" hidden="1" customHeight="1">
      <c r="A86" s="708"/>
      <c r="B86" s="53"/>
      <c r="C86" s="57"/>
      <c r="D86" s="124"/>
      <c r="E86" s="686" t="str">
        <f>FHD_NUM_P_48</f>
        <v/>
      </c>
      <c r="F86" s="312" t="str">
        <f>FHD_P_48</f>
        <v/>
      </c>
      <c r="G86" s="156" t="s">
        <v>563</v>
      </c>
      <c r="H86" s="736"/>
      <c r="I86" s="726"/>
      <c r="J86" s="484" t="str">
        <f>FHD_NOTE_P_48</f>
        <v/>
      </c>
      <c r="K86" s="688"/>
      <c r="L86" s="57"/>
      <c r="M86" s="57"/>
      <c r="N86" s="53"/>
      <c r="O86" s="53"/>
      <c r="P86" s="53"/>
      <c r="Q86" s="53"/>
      <c r="R86" s="57"/>
      <c r="S86" s="53"/>
      <c r="T86" s="53"/>
      <c r="U86" s="685"/>
      <c r="V86" s="53"/>
      <c r="W86" s="53"/>
      <c r="X86" s="53"/>
      <c r="Y86" s="53"/>
      <c r="Z86" s="53"/>
      <c r="AA86" s="56"/>
      <c r="AB86" s="56"/>
      <c r="AC86" s="56"/>
      <c r="AD86" s="56"/>
      <c r="AE86" s="56"/>
    </row>
    <row r="87" s="50" customFormat="1" ht="18.75" hidden="1" customHeight="1">
      <c r="A87" s="708"/>
      <c r="B87" s="53"/>
      <c r="C87" s="57"/>
      <c r="D87" s="124"/>
      <c r="E87" s="686" t="str">
        <f>FHD_NUM_P_49</f>
        <v/>
      </c>
      <c r="F87" s="312" t="str">
        <f>FHD_P_49</f>
        <v/>
      </c>
      <c r="G87" s="156" t="s">
        <v>563</v>
      </c>
      <c r="H87" s="737">
        <f>SUM(H88:H89)</f>
        <v>0</v>
      </c>
      <c r="I87" s="738">
        <f>SUM(I88:I89)</f>
        <v>0</v>
      </c>
      <c r="J87" s="484" t="str">
        <f>FHD_NOTE_P_49</f>
        <v/>
      </c>
      <c r="K87" s="688"/>
      <c r="L87" s="57"/>
      <c r="M87" s="57"/>
      <c r="N87" s="53"/>
      <c r="O87" s="53"/>
      <c r="P87" s="53"/>
      <c r="Q87" s="53"/>
      <c r="R87" s="57"/>
      <c r="S87" s="53"/>
      <c r="T87" s="53"/>
      <c r="U87" s="685"/>
      <c r="V87" s="53"/>
      <c r="W87" s="53"/>
      <c r="X87" s="53"/>
      <c r="Y87" s="53"/>
      <c r="Z87" s="53"/>
      <c r="AA87" s="56"/>
      <c r="AB87" s="56"/>
      <c r="AC87" s="56"/>
      <c r="AD87" s="56"/>
      <c r="AE87" s="56"/>
    </row>
    <row r="88" s="50" customFormat="1" ht="18.75" hidden="1" customHeight="1">
      <c r="A88" s="708"/>
      <c r="B88" s="53"/>
      <c r="C88" s="57"/>
      <c r="D88" s="124"/>
      <c r="E88" s="686" t="str">
        <f>FHD_NUM_P_50</f>
        <v/>
      </c>
      <c r="F88" s="312" t="str">
        <f>FHD_P_50</f>
        <v/>
      </c>
      <c r="G88" s="156" t="s">
        <v>563</v>
      </c>
      <c r="H88" s="736"/>
      <c r="I88" s="726"/>
      <c r="J88" s="484" t="str">
        <f>FHD_NOTE_P_50</f>
        <v/>
      </c>
      <c r="K88" s="688"/>
      <c r="L88" s="57"/>
      <c r="M88" s="57"/>
      <c r="N88" s="53"/>
      <c r="O88" s="53"/>
      <c r="P88" s="53"/>
      <c r="Q88" s="53"/>
      <c r="R88" s="57"/>
      <c r="S88" s="53"/>
      <c r="T88" s="53"/>
      <c r="U88" s="685"/>
      <c r="V88" s="53"/>
      <c r="W88" s="53"/>
      <c r="X88" s="53"/>
      <c r="Y88" s="53"/>
      <c r="Z88" s="53"/>
      <c r="AA88" s="56"/>
      <c r="AB88" s="56"/>
      <c r="AC88" s="56"/>
      <c r="AD88" s="56"/>
      <c r="AE88" s="56"/>
    </row>
    <row r="89" s="50" customFormat="1" ht="18.75" hidden="1" customHeight="1">
      <c r="A89" s="708"/>
      <c r="B89" s="53"/>
      <c r="C89" s="57"/>
      <c r="D89" s="124"/>
      <c r="E89" s="686" t="str">
        <f>FHD_NUM_P_51</f>
        <v/>
      </c>
      <c r="F89" s="312" t="str">
        <f>FHD_P_51</f>
        <v/>
      </c>
      <c r="G89" s="156" t="s">
        <v>563</v>
      </c>
      <c r="H89" s="736"/>
      <c r="I89" s="726"/>
      <c r="J89" s="484" t="str">
        <f>FHD_NOTE_P_51</f>
        <v/>
      </c>
      <c r="K89" s="688"/>
      <c r="L89" s="57"/>
      <c r="M89" s="57"/>
      <c r="N89" s="53"/>
      <c r="O89" s="53"/>
      <c r="P89" s="53"/>
      <c r="Q89" s="53"/>
      <c r="R89" s="57"/>
      <c r="S89" s="53"/>
      <c r="T89" s="53"/>
      <c r="U89" s="685"/>
      <c r="V89" s="53"/>
      <c r="W89" s="53"/>
      <c r="X89" s="53"/>
      <c r="Y89" s="53"/>
      <c r="Z89" s="53"/>
      <c r="AA89" s="56"/>
      <c r="AB89" s="56"/>
      <c r="AC89" s="56"/>
      <c r="AD89" s="56"/>
      <c r="AE89" s="56"/>
    </row>
    <row r="90" s="50" customFormat="1" ht="18.75" hidden="1" customHeight="1">
      <c r="A90" s="708"/>
      <c r="B90" s="53"/>
      <c r="C90" s="57"/>
      <c r="D90" s="124"/>
      <c r="E90" s="686" t="str">
        <f>FHD_NUM_P_52</f>
        <v/>
      </c>
      <c r="F90" s="312" t="str">
        <f>FHD_P_52</f>
        <v/>
      </c>
      <c r="G90" s="156" t="s">
        <v>540</v>
      </c>
      <c r="H90" s="733"/>
      <c r="I90" s="706"/>
      <c r="J90" s="484" t="str">
        <f>FHD_NOTE_P_52</f>
        <v/>
      </c>
      <c r="K90" s="688"/>
      <c r="L90" s="57"/>
      <c r="M90" s="57"/>
      <c r="N90" s="53"/>
      <c r="O90" s="53"/>
      <c r="P90" s="53"/>
      <c r="Q90" s="53"/>
      <c r="R90" s="57"/>
      <c r="S90" s="53"/>
      <c r="T90" s="53"/>
      <c r="U90" s="685"/>
      <c r="V90" s="53"/>
      <c r="W90" s="53"/>
      <c r="X90" s="53"/>
      <c r="Y90" s="53"/>
      <c r="Z90" s="53"/>
      <c r="AA90" s="56"/>
      <c r="AB90" s="56"/>
      <c r="AC90" s="56"/>
      <c r="AD90" s="56"/>
      <c r="AE90" s="56"/>
    </row>
    <row r="91" s="53" customFormat="1" ht="18.75" hidden="1" customHeight="1">
      <c r="A91" s="708" t="s">
        <v>564</v>
      </c>
      <c r="C91" s="57"/>
      <c r="D91" s="124"/>
      <c r="E91" s="686" t="str">
        <f>FHD_NUM_P_53</f>
        <v/>
      </c>
      <c r="F91" s="312" t="str">
        <f>FHD_P_53</f>
        <v/>
      </c>
      <c r="G91" s="156" t="s">
        <v>563</v>
      </c>
      <c r="H91" s="736"/>
      <c r="I91" s="726"/>
      <c r="J91" s="484" t="str">
        <f>FHD_NOTE_P_53</f>
        <v/>
      </c>
      <c r="K91" s="688"/>
      <c r="L91" s="57"/>
      <c r="M91" s="57"/>
      <c r="R91" s="57"/>
      <c r="U91" s="685"/>
      <c r="AA91" s="56"/>
      <c r="AB91" s="56"/>
      <c r="AC91" s="56"/>
      <c r="AD91" s="56"/>
      <c r="AE91" s="56"/>
    </row>
    <row r="92" s="53" customFormat="1" ht="18.75" hidden="1" customHeight="1">
      <c r="A92" s="708"/>
      <c r="C92" s="57"/>
      <c r="D92" s="124"/>
      <c r="E92" s="686" t="str">
        <f>FHD_NUM_P_54</f>
        <v/>
      </c>
      <c r="F92" s="312" t="str">
        <f>FHD_P_54</f>
        <v/>
      </c>
      <c r="G92" s="156" t="s">
        <v>563</v>
      </c>
      <c r="H92" s="736"/>
      <c r="I92" s="726"/>
      <c r="J92" s="484" t="str">
        <f>FHD_NOTE_P_54</f>
        <v/>
      </c>
      <c r="K92" s="688"/>
      <c r="L92" s="57"/>
      <c r="M92" s="57"/>
      <c r="R92" s="57"/>
      <c r="U92" s="685"/>
      <c r="AA92" s="56"/>
      <c r="AB92" s="56"/>
      <c r="AC92" s="56"/>
      <c r="AD92" s="56"/>
      <c r="AE92" s="56"/>
    </row>
    <row r="93" s="53" customFormat="1" ht="18.75" hidden="1" customHeight="1">
      <c r="A93" s="708"/>
      <c r="C93" s="57"/>
      <c r="D93" s="725"/>
      <c r="E93" s="686" t="str">
        <f>FHD_NUM_P_55</f>
        <v/>
      </c>
      <c r="F93" s="312" t="str">
        <f>FHD_P_55</f>
        <v/>
      </c>
      <c r="G93" s="650"/>
      <c r="H93" s="736"/>
      <c r="I93" s="726"/>
      <c r="J93" s="484" t="str">
        <f>FHD_NOTE_P_55</f>
        <v/>
      </c>
      <c r="K93" s="688"/>
      <c r="L93" s="57"/>
      <c r="M93" s="57"/>
      <c r="R93" s="57"/>
      <c r="U93" s="685"/>
      <c r="AA93" s="56"/>
      <c r="AB93" s="56"/>
      <c r="AC93" s="56"/>
      <c r="AD93" s="56"/>
      <c r="AE93" s="56"/>
    </row>
    <row r="94" s="53" customFormat="1" ht="18.75" hidden="1" customHeight="1">
      <c r="A94" s="708"/>
      <c r="C94" s="57"/>
      <c r="D94" s="124"/>
      <c r="E94" s="686" t="str">
        <f>FHD_NUM_P_56</f>
        <v/>
      </c>
      <c r="F94" s="312" t="str">
        <f>FHD_P_56</f>
        <v/>
      </c>
      <c r="G94" s="156" t="s">
        <v>565</v>
      </c>
      <c r="H94" s="736"/>
      <c r="I94" s="726"/>
      <c r="J94" s="484" t="str">
        <f>FHD_NOTE_P_56</f>
        <v/>
      </c>
      <c r="K94" s="688"/>
      <c r="L94" s="57"/>
      <c r="M94" s="57"/>
      <c r="R94" s="57"/>
      <c r="U94" s="685"/>
      <c r="AA94" s="56"/>
      <c r="AB94" s="56"/>
      <c r="AC94" s="56"/>
      <c r="AD94" s="56"/>
      <c r="AE94" s="56"/>
    </row>
    <row r="95" s="50" customFormat="1" ht="18.75" hidden="1" customHeight="1">
      <c r="A95" s="708"/>
      <c r="B95" s="53"/>
      <c r="C95" s="57"/>
      <c r="D95" s="124"/>
      <c r="E95" s="686" t="str">
        <f>FHD_NUM_P_57</f>
        <v/>
      </c>
      <c r="F95" s="312" t="str">
        <f>FHD_P_57</f>
        <v/>
      </c>
      <c r="G95" s="156" t="s">
        <v>540</v>
      </c>
      <c r="H95" s="733"/>
      <c r="I95" s="706"/>
      <c r="J95" s="484" t="str">
        <f>FHD_NOTE_P_57</f>
        <v/>
      </c>
      <c r="K95" s="688"/>
      <c r="L95" s="57"/>
      <c r="M95" s="57"/>
      <c r="N95" s="53"/>
      <c r="O95" s="53"/>
      <c r="P95" s="53"/>
      <c r="Q95" s="53"/>
      <c r="R95" s="57"/>
      <c r="S95" s="53"/>
      <c r="T95" s="53"/>
      <c r="U95" s="685"/>
      <c r="V95" s="53"/>
      <c r="W95" s="53"/>
      <c r="X95" s="53"/>
      <c r="Y95" s="53"/>
      <c r="Z95" s="53"/>
      <c r="AA95" s="56"/>
      <c r="AB95" s="56"/>
      <c r="AC95" s="56"/>
      <c r="AD95" s="56"/>
      <c r="AE95" s="56"/>
    </row>
    <row r="96" ht="18.75" hidden="1" customHeight="1">
      <c r="A96" s="708" t="s">
        <v>566</v>
      </c>
      <c r="D96" s="124"/>
      <c r="E96" s="686" t="str">
        <f>FHD_NUM_P_58</f>
        <v/>
      </c>
      <c r="F96" s="312" t="str">
        <f>FHD_P_58</f>
        <v/>
      </c>
      <c r="G96" s="156" t="s">
        <v>563</v>
      </c>
      <c r="H96" s="736"/>
      <c r="I96" s="726"/>
      <c r="J96" s="484" t="str">
        <f>FHD_NOTE_P_58</f>
        <v/>
      </c>
      <c r="K96" s="688"/>
    </row>
    <row r="97" ht="18.75" hidden="1" customHeight="1">
      <c r="A97" s="708"/>
      <c r="D97" s="124"/>
      <c r="E97" s="686" t="str">
        <f>FHD_NUM_P_59</f>
        <v/>
      </c>
      <c r="F97" s="312" t="str">
        <f>FHD_P_59</f>
        <v/>
      </c>
      <c r="G97" s="156" t="s">
        <v>563</v>
      </c>
      <c r="H97" s="736"/>
      <c r="I97" s="726"/>
      <c r="J97" s="484" t="str">
        <f>FHD_NOTE_P_59</f>
        <v/>
      </c>
      <c r="K97" s="688"/>
    </row>
    <row r="98" ht="18.75" hidden="1" customHeight="1">
      <c r="A98" s="708"/>
      <c r="D98" s="124"/>
      <c r="E98" s="686" t="str">
        <f>FHD_NUM_P_60</f>
        <v/>
      </c>
      <c r="F98" s="312" t="str">
        <f>FHD_P_60</f>
        <v/>
      </c>
      <c r="G98" s="156" t="s">
        <v>563</v>
      </c>
      <c r="H98" s="736"/>
      <c r="I98" s="726"/>
      <c r="J98" s="484" t="str">
        <f>FHD_NOTE_P_60</f>
        <v/>
      </c>
      <c r="K98" s="688"/>
    </row>
    <row r="99" s="53" customFormat="1" ht="18.75" customHeight="1">
      <c r="A99" s="708" t="s">
        <v>567</v>
      </c>
      <c r="C99" s="57"/>
      <c r="D99" s="124"/>
      <c r="E99" s="686" t="str">
        <f>FHD_NUM_P_61</f>
        <v>7</v>
      </c>
      <c r="F99" s="312" t="str">
        <f>FHD_P_61</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G99" s="156" t="s">
        <v>538</v>
      </c>
      <c r="H99" s="739"/>
      <c r="I99" s="740"/>
      <c r="J99" s="484" t="str">
        <f>FHD_NOTE_P_61</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88"/>
      <c r="L99" s="57"/>
      <c r="M99" s="57"/>
      <c r="R99" s="57"/>
      <c r="U99" s="685"/>
      <c r="AA99" s="56"/>
      <c r="AB99" s="56"/>
      <c r="AC99" s="56"/>
      <c r="AD99" s="56"/>
      <c r="AE99" s="56"/>
    </row>
    <row r="100" s="57" customFormat="1" ht="0.75" customHeight="1">
      <c r="A100" s="708"/>
      <c r="D100" s="529"/>
      <c r="E100" s="157" t="str">
        <f>E99&amp;".0"</f>
        <v>7.0</v>
      </c>
      <c r="F100" s="741"/>
      <c r="G100" s="742"/>
      <c r="H100" s="731"/>
      <c r="I100" s="731"/>
      <c r="J100" s="743"/>
    </row>
    <row r="101" ht="15" customHeight="1">
      <c r="A101" s="708"/>
      <c r="D101" s="127"/>
      <c r="E101" s="744"/>
      <c r="F101" s="745" t="s">
        <v>568</v>
      </c>
      <c r="G101" s="720"/>
      <c r="H101" s="721"/>
      <c r="I101" s="721"/>
      <c r="J101" s="746" t="s">
        <v>569</v>
      </c>
      <c r="K101" s="688"/>
    </row>
    <row r="102" s="53" customFormat="1" ht="18.75" customHeight="1">
      <c r="A102" s="708"/>
      <c r="C102" s="57"/>
      <c r="D102" s="124"/>
      <c r="E102" s="686" t="str">
        <f>FHD_NUM_P_62</f>
        <v>8</v>
      </c>
      <c r="F102" s="312" t="str">
        <f>FHD_P_62</f>
        <v xml:space="preserve">Тепловая нагрузка по договорам, заключенным в рамках осуществления регулируемых видов деятельности</v>
      </c>
      <c r="G102" s="72" t="s">
        <v>538</v>
      </c>
      <c r="H102" s="706"/>
      <c r="I102" s="706"/>
      <c r="J102" s="484" t="str">
        <f>FHD_NOTE_P_62</f>
        <v xml:space="preserve">Регулируемыми организациями указывается информация по договорам, заключенным в рамках осуществления регулируемых видов деятельности</v>
      </c>
      <c r="K102" s="688"/>
      <c r="L102" s="57"/>
      <c r="M102" s="57"/>
      <c r="R102" s="57"/>
      <c r="U102" s="685"/>
      <c r="AA102" s="56"/>
      <c r="AB102" s="56"/>
      <c r="AC102" s="56"/>
      <c r="AD102" s="56"/>
      <c r="AE102" s="56"/>
    </row>
    <row r="103" s="53" customFormat="1" ht="18.75" customHeight="1">
      <c r="A103" s="708"/>
      <c r="C103" s="57"/>
      <c r="D103" s="124"/>
      <c r="E103" s="686" t="str">
        <f>FHD_NUM_P_63</f>
        <v>9</v>
      </c>
      <c r="F103" s="312" t="str">
        <f>FHD_P_63</f>
        <v xml:space="preserve">Объем вырабатываемой регулируемой организацией тепловой энергии в рамках осуществления регулируемых видов деятельности</v>
      </c>
      <c r="G103" s="72" t="s">
        <v>565</v>
      </c>
      <c r="H103" s="726"/>
      <c r="I103" s="726"/>
      <c r="J103" s="484" t="str">
        <f>FHD_NOTE_P_63</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K103" s="688"/>
      <c r="L103" s="57"/>
      <c r="M103" s="57"/>
      <c r="R103" s="57"/>
      <c r="U103" s="685"/>
      <c r="AA103" s="56"/>
      <c r="AB103" s="56"/>
      <c r="AC103" s="56"/>
      <c r="AD103" s="56"/>
      <c r="AE103" s="56"/>
    </row>
    <row r="104" s="53" customFormat="1" ht="18.75" customHeight="1">
      <c r="A104" s="708"/>
      <c r="C104" s="57" t="s">
        <v>570</v>
      </c>
      <c r="D104" s="124"/>
      <c r="E104" s="686" t="str">
        <f>FHD_NUM_P_64</f>
        <v>9.1</v>
      </c>
      <c r="F104" s="312" t="str">
        <f>FHD_P_64</f>
        <v xml:space="preserve">Объем приобретаемой регулируемой организацией тепловой энергии в рамках осуществления регулируемых видов деятельности</v>
      </c>
      <c r="G104" s="72" t="s">
        <v>565</v>
      </c>
      <c r="H104" s="696"/>
      <c r="I104" s="696"/>
      <c r="J104" s="484" t="str">
        <f>FHD_NOTE_P_64</f>
        <v xml:space="preserve">Информация указывается только едиными теплоснабжающими организациями.</v>
      </c>
      <c r="K104" s="688"/>
      <c r="L104" s="57"/>
      <c r="M104" s="57"/>
      <c r="R104" s="57"/>
      <c r="U104" s="685"/>
      <c r="AA104" s="56"/>
      <c r="AB104" s="56"/>
      <c r="AC104" s="56"/>
      <c r="AD104" s="56"/>
      <c r="AE104" s="56"/>
    </row>
    <row r="105" s="53" customFormat="1" ht="18.75" customHeight="1">
      <c r="A105" s="708"/>
      <c r="C105" s="57"/>
      <c r="D105" s="124"/>
      <c r="E105" s="686" t="str">
        <f>FHD_NUM_P_65</f>
        <v>10</v>
      </c>
      <c r="F105" s="312" t="str">
        <f>FHD_P_65</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72" t="s">
        <v>565</v>
      </c>
      <c r="H105" s="726"/>
      <c r="I105" s="726"/>
      <c r="J105" s="484" t="str">
        <f>FHD_NOTE_P_65</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88"/>
      <c r="L105" s="57"/>
      <c r="M105" s="57"/>
      <c r="R105" s="57"/>
      <c r="U105" s="685"/>
      <c r="AA105" s="56"/>
      <c r="AB105" s="56"/>
      <c r="AC105" s="56"/>
      <c r="AD105" s="56"/>
      <c r="AE105" s="56"/>
    </row>
    <row r="106" s="53" customFormat="1" ht="18.75" customHeight="1">
      <c r="A106" s="708"/>
      <c r="C106" s="57"/>
      <c r="D106" s="124"/>
      <c r="E106" s="686" t="str">
        <f>FHD_NUM_P_66</f>
        <v>10.1</v>
      </c>
      <c r="F106" s="655" t="str">
        <f>FHD_P_66</f>
        <v xml:space="preserve">По приборам учёта</v>
      </c>
      <c r="G106" s="72" t="s">
        <v>565</v>
      </c>
      <c r="H106" s="726"/>
      <c r="I106" s="726"/>
      <c r="J106" s="484" t="str">
        <f>FHD_NOTE_P_66</f>
        <v/>
      </c>
      <c r="K106" s="688"/>
      <c r="L106" s="57"/>
      <c r="M106" s="57"/>
      <c r="R106" s="57"/>
      <c r="U106" s="685"/>
      <c r="AA106" s="56"/>
      <c r="AB106" s="56"/>
      <c r="AC106" s="56"/>
      <c r="AD106" s="56"/>
      <c r="AE106" s="56"/>
    </row>
    <row r="107" s="53" customFormat="1" ht="18.75" customHeight="1">
      <c r="A107" s="708"/>
      <c r="C107" s="57"/>
      <c r="D107" s="124"/>
      <c r="E107" s="686" t="str">
        <f>FHD_NUM_P_67</f>
        <v>10.1.1</v>
      </c>
      <c r="F107" s="722" t="str">
        <f>FHD_P_67</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72" t="s">
        <v>565</v>
      </c>
      <c r="H107" s="726"/>
      <c r="I107" s="726"/>
      <c r="J107" s="484" t="str">
        <f>FHD_NOTE_P_67</f>
        <v/>
      </c>
      <c r="K107" s="688"/>
      <c r="L107" s="57"/>
      <c r="M107" s="57"/>
      <c r="R107" s="57"/>
      <c r="U107" s="685"/>
      <c r="AA107" s="56"/>
      <c r="AB107" s="56"/>
      <c r="AC107" s="56"/>
      <c r="AD107" s="56"/>
      <c r="AE107" s="56"/>
    </row>
    <row r="108" s="53" customFormat="1" ht="18.75" customHeight="1">
      <c r="A108" s="708"/>
      <c r="C108" s="57"/>
      <c r="D108" s="124"/>
      <c r="E108" s="686" t="str">
        <f>FHD_NUM_P_68</f>
        <v>10.2</v>
      </c>
      <c r="F108" s="655" t="str">
        <f>FHD_P_68</f>
        <v xml:space="preserve">Расчётным путём</v>
      </c>
      <c r="G108" s="72" t="s">
        <v>565</v>
      </c>
      <c r="H108" s="726"/>
      <c r="I108" s="726"/>
      <c r="J108" s="484" t="str">
        <f>FHD_NOTE_P_68</f>
        <v/>
      </c>
      <c r="K108" s="688"/>
      <c r="L108" s="57"/>
      <c r="M108" s="57"/>
      <c r="R108" s="57"/>
      <c r="U108" s="685"/>
      <c r="AA108" s="56"/>
      <c r="AB108" s="56"/>
      <c r="AC108" s="56"/>
      <c r="AD108" s="56"/>
      <c r="AE108" s="56"/>
    </row>
    <row r="109" s="53" customFormat="1" ht="18.75" customHeight="1">
      <c r="A109" s="708"/>
      <c r="C109" s="57"/>
      <c r="D109" s="124"/>
      <c r="E109" s="686" t="str">
        <f>FHD_NUM_P_69</f>
        <v>10.3</v>
      </c>
      <c r="F109" s="655" t="str">
        <f>FHD_P_69</f>
        <v xml:space="preserve">По нормативам потребления коммунальных услуг и нормативам потребления коммунальных ресурсов</v>
      </c>
      <c r="G109" s="72" t="s">
        <v>565</v>
      </c>
      <c r="H109" s="726"/>
      <c r="I109" s="726"/>
      <c r="J109" s="484" t="str">
        <f>FHD_NOTE_P_69</f>
        <v/>
      </c>
      <c r="K109" s="688"/>
      <c r="L109" s="57"/>
      <c r="M109" s="57"/>
      <c r="R109" s="57"/>
      <c r="U109" s="685"/>
      <c r="AA109" s="56"/>
      <c r="AB109" s="56"/>
      <c r="AC109" s="56"/>
      <c r="AD109" s="56"/>
      <c r="AE109" s="56"/>
    </row>
    <row r="110" s="53" customFormat="1" ht="22.5" customHeight="1">
      <c r="A110" s="708"/>
      <c r="C110" s="57"/>
      <c r="D110" s="124"/>
      <c r="E110" s="686" t="str">
        <f>FHD_NUM_P_70</f>
        <v>11</v>
      </c>
      <c r="F110" s="312" t="str">
        <f>FHD_P_70</f>
        <v xml:space="preserve">Нормативы технологических потерь при передаче тепловой энергии, теплоносителя по тепловым сетям, утвержденные уполномоченным органом</v>
      </c>
      <c r="G110" s="72" t="s">
        <v>571</v>
      </c>
      <c r="H110" s="706"/>
      <c r="I110" s="706"/>
      <c r="J110" s="484" t="str">
        <f>FHD_NOTE_P_70</f>
        <v/>
      </c>
      <c r="K110" s="688"/>
      <c r="L110" s="57"/>
      <c r="M110" s="57"/>
      <c r="R110" s="57"/>
      <c r="U110" s="685"/>
      <c r="AA110" s="56"/>
      <c r="AB110" s="56"/>
      <c r="AC110" s="56"/>
      <c r="AD110" s="56"/>
      <c r="AE110" s="56"/>
    </row>
    <row r="111" s="53" customFormat="1" ht="22.5" customHeight="1">
      <c r="A111" s="708"/>
      <c r="C111" s="57"/>
      <c r="D111" s="124"/>
      <c r="E111" s="686" t="str">
        <f>FHD_NUM_P_71</f>
        <v>12</v>
      </c>
      <c r="F111" s="312" t="str">
        <f>FHD_P_71</f>
        <v xml:space="preserve">Фактический объем потерь при передаче тепловой энергии</v>
      </c>
      <c r="G111" s="72" t="s">
        <v>571</v>
      </c>
      <c r="H111" s="706"/>
      <c r="I111" s="706"/>
      <c r="J111" s="484" t="str">
        <f>FHD_NOTE_P_71</f>
        <v/>
      </c>
      <c r="K111" s="688"/>
      <c r="L111" s="57"/>
      <c r="M111" s="57"/>
      <c r="R111" s="57"/>
      <c r="U111" s="685"/>
      <c r="AA111" s="56"/>
      <c r="AB111" s="56"/>
      <c r="AC111" s="56"/>
      <c r="AD111" s="56"/>
      <c r="AE111" s="56"/>
    </row>
    <row r="112" ht="22.5" customHeight="1">
      <c r="D112" s="124"/>
      <c r="E112" s="686" t="str">
        <f>FHD_NUM_P_72</f>
        <v>13</v>
      </c>
      <c r="F112" s="312" t="str">
        <f>FHD_P_72</f>
        <v xml:space="preserve">Среднесписочная численность основного производственного персонала</v>
      </c>
      <c r="G112" s="72" t="s">
        <v>572</v>
      </c>
      <c r="H112" s="726"/>
      <c r="I112" s="726"/>
      <c r="J112" s="484" t="str">
        <f>FHD_NOTE_P_72</f>
        <v/>
      </c>
      <c r="K112" s="688"/>
    </row>
    <row r="113" ht="18.75" customHeight="1">
      <c r="A113" s="724" t="s">
        <v>573</v>
      </c>
      <c r="D113" s="124"/>
      <c r="E113" s="686" t="str">
        <f>FHD_NUM_P_73</f>
        <v>14</v>
      </c>
      <c r="F113" s="312" t="str">
        <f>FHD_P_73</f>
        <v xml:space="preserve">Среднесписочная численность административно-управленческого персонала</v>
      </c>
      <c r="G113" s="304" t="s">
        <v>572</v>
      </c>
      <c r="H113" s="747"/>
      <c r="I113" s="747"/>
      <c r="J113" s="484" t="str">
        <f>FHD_NOTE_P_73</f>
        <v/>
      </c>
      <c r="K113" s="688"/>
    </row>
    <row r="114" ht="33.75" hidden="1" customHeight="1">
      <c r="A114" s="724" t="s">
        <v>574</v>
      </c>
      <c r="D114" s="124"/>
      <c r="E114" s="686" t="str">
        <f>FHD_NUM_P_74</f>
        <v/>
      </c>
      <c r="F114" s="312" t="str">
        <f>FHD_P_74</f>
        <v/>
      </c>
      <c r="G114" s="72" t="s">
        <v>575</v>
      </c>
      <c r="H114" s="726"/>
      <c r="I114" s="726"/>
      <c r="J114" s="484" t="str">
        <f>FHD_NOTE_P_74</f>
        <v/>
      </c>
      <c r="K114" s="688"/>
    </row>
    <row r="115" s="50" customFormat="1" ht="18.75" hidden="1" customHeight="1">
      <c r="A115" s="708" t="s">
        <v>576</v>
      </c>
      <c r="B115" s="53"/>
      <c r="C115" s="57"/>
      <c r="D115" s="124"/>
      <c r="E115" s="686" t="str">
        <f>FHD_NUM_P_75</f>
        <v/>
      </c>
      <c r="F115" s="312" t="str">
        <f>FHD_P_75</f>
        <v/>
      </c>
      <c r="G115" s="72" t="s">
        <v>540</v>
      </c>
      <c r="H115" s="706"/>
      <c r="I115" s="706"/>
      <c r="J115" s="484" t="str">
        <f>FHD_NOTE_P_75</f>
        <v/>
      </c>
      <c r="K115" s="688"/>
      <c r="L115" s="57"/>
      <c r="M115" s="57"/>
      <c r="N115" s="53"/>
      <c r="O115" s="53"/>
      <c r="P115" s="53"/>
      <c r="Q115" s="53"/>
      <c r="R115" s="57"/>
      <c r="S115" s="53"/>
      <c r="T115" s="53"/>
      <c r="U115" s="685"/>
      <c r="V115" s="53"/>
      <c r="W115" s="53"/>
      <c r="X115" s="53"/>
      <c r="Y115" s="53"/>
      <c r="Z115" s="53"/>
      <c r="AA115" s="56"/>
      <c r="AB115" s="56"/>
      <c r="AC115" s="56"/>
      <c r="AD115" s="56"/>
      <c r="AE115" s="56"/>
    </row>
    <row r="116" s="50" customFormat="1" ht="18.75" hidden="1" customHeight="1">
      <c r="A116" s="708"/>
      <c r="B116" s="53"/>
      <c r="C116" s="57"/>
      <c r="D116" s="124"/>
      <c r="E116" s="686" t="str">
        <f>FHD_NUM_P_76</f>
        <v/>
      </c>
      <c r="F116" s="312" t="str">
        <f>FHD_P_76</f>
        <v/>
      </c>
      <c r="G116" s="72" t="s">
        <v>540</v>
      </c>
      <c r="H116" s="706"/>
      <c r="I116" s="706"/>
      <c r="J116" s="484" t="str">
        <f>FHD_NOTE_P_76</f>
        <v/>
      </c>
      <c r="K116" s="688"/>
      <c r="L116" s="57"/>
      <c r="M116" s="57"/>
      <c r="N116" s="53"/>
      <c r="O116" s="53"/>
      <c r="P116" s="53"/>
      <c r="Q116" s="53"/>
      <c r="R116" s="57"/>
      <c r="S116" s="53"/>
      <c r="T116" s="53"/>
      <c r="U116" s="685"/>
      <c r="V116" s="53"/>
      <c r="W116" s="53"/>
      <c r="X116" s="53"/>
      <c r="Y116" s="53"/>
      <c r="Z116" s="53"/>
      <c r="AA116" s="56"/>
      <c r="AB116" s="56"/>
      <c r="AC116" s="56"/>
      <c r="AD116" s="56"/>
      <c r="AE116" s="56"/>
    </row>
    <row r="117" s="50" customFormat="1" ht="18.75" hidden="1" customHeight="1">
      <c r="A117" s="708"/>
      <c r="B117" s="53"/>
      <c r="C117" s="57"/>
      <c r="D117" s="124"/>
      <c r="E117" s="686" t="str">
        <f>FHD_NUM_P_77</f>
        <v/>
      </c>
      <c r="F117" s="312" t="str">
        <f>FHD_P_77</f>
        <v/>
      </c>
      <c r="G117" s="72" t="s">
        <v>540</v>
      </c>
      <c r="H117" s="706"/>
      <c r="I117" s="706"/>
      <c r="J117" s="484" t="str">
        <f>FHD_NOTE_P_77</f>
        <v/>
      </c>
      <c r="K117" s="688"/>
      <c r="L117" s="57"/>
      <c r="M117" s="57"/>
      <c r="N117" s="53"/>
      <c r="O117" s="53"/>
      <c r="P117" s="53"/>
      <c r="Q117" s="53"/>
      <c r="R117" s="57"/>
      <c r="S117" s="53"/>
      <c r="T117" s="53"/>
      <c r="U117" s="685"/>
      <c r="V117" s="53"/>
      <c r="W117" s="53"/>
      <c r="X117" s="53"/>
      <c r="Y117" s="53"/>
      <c r="Z117" s="53"/>
      <c r="AA117" s="56"/>
      <c r="AB117" s="56"/>
      <c r="AC117" s="56"/>
      <c r="AD117" s="56"/>
      <c r="AE117" s="56"/>
    </row>
    <row r="118" s="57" customFormat="1" ht="0.75" hidden="1" customHeight="1">
      <c r="A118" s="708"/>
      <c r="D118" s="529"/>
      <c r="E118" s="157" t="str">
        <f>E117&amp;".0"</f>
        <v>.0</v>
      </c>
      <c r="F118" s="748"/>
      <c r="G118" s="575"/>
      <c r="H118" s="731"/>
      <c r="I118" s="731"/>
      <c r="J118" s="743"/>
    </row>
    <row r="119" s="50" customFormat="1" ht="15" hidden="1" customHeight="1">
      <c r="A119" s="708"/>
      <c r="B119" s="53"/>
      <c r="C119" s="57"/>
      <c r="D119" s="127"/>
      <c r="E119" s="744"/>
      <c r="F119" s="745" t="s">
        <v>577</v>
      </c>
      <c r="G119" s="720"/>
      <c r="H119" s="721"/>
      <c r="I119" s="721"/>
      <c r="J119" s="746" t="s">
        <v>578</v>
      </c>
      <c r="K119" s="688"/>
      <c r="L119" s="57"/>
      <c r="M119" s="57"/>
      <c r="N119" s="53"/>
      <c r="O119" s="53"/>
      <c r="P119" s="53"/>
      <c r="Q119" s="53"/>
      <c r="R119" s="57"/>
      <c r="S119" s="53"/>
      <c r="T119" s="53"/>
      <c r="U119" s="685"/>
      <c r="V119" s="53"/>
      <c r="W119" s="53"/>
      <c r="X119" s="53"/>
      <c r="Y119" s="53"/>
      <c r="Z119" s="53"/>
      <c r="AA119" s="56"/>
      <c r="AB119" s="56"/>
      <c r="AC119" s="56"/>
      <c r="AD119" s="56"/>
      <c r="AE119" s="56"/>
    </row>
    <row r="120" ht="22.5" customHeight="1">
      <c r="A120" s="708" t="s">
        <v>579</v>
      </c>
      <c r="D120" s="124"/>
      <c r="E120" s="686" t="str">
        <f>FHD_NUM_P_78</f>
        <v>15</v>
      </c>
      <c r="F120" s="312" t="str">
        <f>FHD_P_78</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72" t="s">
        <v>542</v>
      </c>
      <c r="H120" s="726"/>
      <c r="I120" s="726"/>
      <c r="J120" s="484" t="str">
        <f>FHD_NOTE_P_78</f>
        <v/>
      </c>
      <c r="K120" s="688"/>
    </row>
    <row r="121" s="57" customFormat="1" ht="0.75" customHeight="1">
      <c r="A121" s="708"/>
      <c r="D121" s="529"/>
      <c r="E121" s="157" t="str">
        <f>E120&amp;".0"</f>
        <v>15.0</v>
      </c>
      <c r="F121" s="748"/>
      <c r="G121" s="575"/>
      <c r="H121" s="731"/>
      <c r="I121" s="731"/>
      <c r="J121" s="743"/>
    </row>
    <row r="122" ht="15" customHeight="1">
      <c r="A122" s="708"/>
      <c r="D122" s="127"/>
      <c r="E122" s="719"/>
      <c r="F122" s="174" t="s">
        <v>568</v>
      </c>
      <c r="G122" s="720"/>
      <c r="H122" s="721"/>
      <c r="I122" s="721"/>
      <c r="J122" s="746" t="s">
        <v>580</v>
      </c>
      <c r="K122" s="688"/>
    </row>
    <row r="123" ht="22.5" customHeight="1">
      <c r="A123" s="708"/>
      <c r="D123" s="124"/>
      <c r="E123" s="686" t="str">
        <f>FHD_NUM_P_79</f>
        <v>16</v>
      </c>
      <c r="F123" s="312" t="str">
        <f>FHD_P_79</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6" t="s">
        <v>544</v>
      </c>
      <c r="H123" s="726"/>
      <c r="I123" s="726"/>
      <c r="J123" s="484" t="str">
        <f>FHD_NOTE_P_79</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88"/>
    </row>
    <row r="124" s="57" customFormat="1" ht="0.75" customHeight="1">
      <c r="A124" s="708"/>
      <c r="D124" s="529"/>
      <c r="E124" s="157" t="str">
        <f>E123&amp;".0"</f>
        <v>16.0</v>
      </c>
      <c r="F124" s="749"/>
      <c r="G124" s="575"/>
      <c r="H124" s="731"/>
      <c r="I124" s="731"/>
      <c r="J124" s="743"/>
    </row>
    <row r="125" ht="15" customHeight="1">
      <c r="A125" s="708"/>
      <c r="D125" s="127"/>
      <c r="E125" s="719"/>
      <c r="F125" s="174" t="s">
        <v>568</v>
      </c>
      <c r="G125" s="720"/>
      <c r="H125" s="721"/>
      <c r="I125" s="721"/>
      <c r="J125" s="746" t="s">
        <v>581</v>
      </c>
      <c r="K125" s="688"/>
    </row>
    <row r="126" ht="22.5" customHeight="1">
      <c r="A126" s="708"/>
      <c r="D126" s="124"/>
      <c r="E126" s="686" t="str">
        <f>FHD_NUM_P_80</f>
        <v>17</v>
      </c>
      <c r="F126" s="312" t="str">
        <f>FHD_P_80</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6" t="s">
        <v>582</v>
      </c>
      <c r="H126" s="706"/>
      <c r="I126" s="706"/>
      <c r="J126" s="484" t="str">
        <f>FHD_NOTE_P_80</f>
        <v xml:space="preserve">Регулируемыми организациями указывается информация с по договорам, заключенным в рамках осуществления регулируемой деятельности.</v>
      </c>
      <c r="K126" s="688"/>
    </row>
    <row r="127" ht="18.75" customHeight="1">
      <c r="A127" s="708"/>
      <c r="D127" s="124"/>
      <c r="E127" s="686" t="str">
        <f>FHD_NUM_P_81</f>
        <v>18</v>
      </c>
      <c r="F127" s="312" t="str">
        <f>FHD_P_81</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6" t="s">
        <v>583</v>
      </c>
      <c r="H127" s="706"/>
      <c r="I127" s="706"/>
      <c r="J127" s="484" t="str">
        <f>FHD_NOTE_P_81</f>
        <v xml:space="preserve">Регулируемыми организациями указывается информация с по договорам, заключенным в рамках осуществления регулируемой деятельности.</v>
      </c>
      <c r="K127" s="688"/>
    </row>
    <row r="128" ht="18.75" customHeight="1">
      <c r="A128" s="708"/>
      <c r="C128" s="57" t="s">
        <v>570</v>
      </c>
      <c r="D128" s="124"/>
      <c r="E128" s="686" t="str">
        <f>FHD_NUM_P_82</f>
        <v>19</v>
      </c>
      <c r="F128" s="312" t="str">
        <f>FHD_P_82</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6" t="s">
        <v>294</v>
      </c>
      <c r="H128" s="735"/>
      <c r="I128" s="735"/>
      <c r="J128" s="484" t="str">
        <f>FHD_NOTE_P_82</f>
        <v xml:space="preserve">Указывается ссылка на документ, предварительно загруженный в хранилище файлов ФГИС ЕИАС.</v>
      </c>
      <c r="K128" s="688"/>
    </row>
    <row r="129" ht="18.75" customHeight="1">
      <c r="A129" s="708"/>
      <c r="C129" s="57" t="s">
        <v>570</v>
      </c>
      <c r="D129" s="124"/>
      <c r="E129" s="686" t="str">
        <f>FHD_NUM_P_83</f>
        <v>19.1</v>
      </c>
      <c r="F129" s="655" t="str">
        <f>FHD_P_83</f>
        <v xml:space="preserve">Информация о показателях физического износа объектов теплоснабжения</v>
      </c>
      <c r="G129" s="156" t="s">
        <v>294</v>
      </c>
      <c r="H129" s="735"/>
      <c r="I129" s="735"/>
      <c r="J129" s="484" t="str">
        <f>FHD_NOTE_P_83</f>
        <v xml:space="preserve">Указывается ссылка на документ, предварительно загруженный в хранилище файлов ФГИС ЕИАС.</v>
      </c>
      <c r="K129" s="688"/>
    </row>
    <row r="130" ht="18.75" customHeight="1">
      <c r="A130" s="708"/>
      <c r="C130" s="57" t="s">
        <v>570</v>
      </c>
      <c r="D130" s="124"/>
      <c r="E130" s="686" t="str">
        <f>FHD_NUM_P_84</f>
        <v>19.2</v>
      </c>
      <c r="F130" s="655" t="str">
        <f>FHD_P_84</f>
        <v xml:space="preserve">Информация о показателях энергетической эффективности объектов теплоснабжения</v>
      </c>
      <c r="G130" s="156" t="s">
        <v>294</v>
      </c>
      <c r="H130" s="735"/>
      <c r="I130" s="735"/>
      <c r="J130" s="484" t="str">
        <f>FHD_NOTE_P_84</f>
        <v xml:space="preserve">Указывается ссылка на документ, предварительно загруженный в хранилище файлов ФГИС ЕИАС.</v>
      </c>
      <c r="K130" s="688"/>
    </row>
    <row r="131" ht="11.25" customHeight="1">
      <c r="D131" s="124"/>
    </row>
    <row r="132" ht="12.75" customHeight="1">
      <c r="D132" s="124"/>
      <c r="E132" s="475"/>
      <c r="F132" s="394"/>
      <c r="G132" s="394"/>
      <c r="H132" s="394"/>
      <c r="I132" s="572"/>
      <c r="J132" s="322"/>
    </row>
    <row r="133" s="130" customFormat="1" ht="11.25" customHeight="1">
      <c r="A133" s="684"/>
      <c r="B133" s="57"/>
      <c r="C133" s="57"/>
      <c r="D133" s="130"/>
      <c r="F133" s="151"/>
      <c r="G133" s="50"/>
      <c r="H133" s="50"/>
      <c r="I133" s="50"/>
      <c r="K133" s="53"/>
      <c r="L133" s="57"/>
      <c r="M133" s="57"/>
      <c r="N133" s="53"/>
      <c r="O133" s="53"/>
      <c r="P133" s="53"/>
      <c r="Q133" s="53"/>
      <c r="R133" s="57"/>
      <c r="S133" s="53"/>
      <c r="T133" s="53"/>
      <c r="U133" s="685"/>
      <c r="V133" s="53"/>
      <c r="W133" s="53"/>
      <c r="X133" s="53"/>
      <c r="Y133" s="53"/>
      <c r="Z133" s="53"/>
      <c r="AA133" s="56"/>
      <c r="AB133" s="54"/>
      <c r="AC133" s="54"/>
      <c r="AD133" s="54"/>
      <c r="AE133" s="54"/>
    </row>
    <row r="134" s="130" customFormat="1" ht="11.25" customHeight="1">
      <c r="A134" s="684"/>
      <c r="B134" s="57"/>
      <c r="C134" s="57"/>
      <c r="D134" s="130"/>
      <c r="K134" s="53"/>
      <c r="L134" s="57"/>
      <c r="M134" s="57"/>
      <c r="N134" s="53"/>
      <c r="O134" s="53"/>
      <c r="P134" s="53"/>
      <c r="Q134" s="53"/>
      <c r="R134" s="57"/>
      <c r="S134" s="53"/>
      <c r="T134" s="53"/>
      <c r="U134" s="685"/>
      <c r="V134" s="53"/>
      <c r="W134" s="53"/>
      <c r="X134" s="53"/>
      <c r="Y134" s="53"/>
      <c r="Z134" s="53"/>
      <c r="AA134" s="56"/>
      <c r="AB134" s="54"/>
      <c r="AC134" s="54"/>
      <c r="AD134" s="54"/>
      <c r="AE134" s="54"/>
    </row>
    <row r="135" s="130" customFormat="1" ht="11.25" customHeight="1">
      <c r="A135" s="684"/>
      <c r="B135" s="57"/>
      <c r="C135" s="57"/>
      <c r="D135" s="130"/>
      <c r="K135" s="53"/>
      <c r="L135" s="57"/>
      <c r="M135" s="57"/>
      <c r="N135" s="53"/>
      <c r="O135" s="53"/>
      <c r="P135" s="53"/>
      <c r="Q135" s="53"/>
      <c r="R135" s="57"/>
      <c r="S135" s="53"/>
      <c r="T135" s="53"/>
      <c r="U135" s="685"/>
      <c r="V135" s="53"/>
      <c r="W135" s="53"/>
      <c r="X135" s="53"/>
      <c r="Y135" s="53"/>
      <c r="Z135" s="53"/>
      <c r="AA135" s="56"/>
      <c r="AB135" s="54"/>
      <c r="AC135" s="54"/>
      <c r="AD135" s="54"/>
      <c r="AE135" s="54"/>
    </row>
    <row r="136" s="130" customFormat="1" ht="11.25" customHeight="1">
      <c r="A136" s="684"/>
      <c r="B136" s="57"/>
      <c r="C136" s="57"/>
      <c r="D136" s="130"/>
      <c r="H136" s="54" t="str">
        <f>IF(H30-H31&lt;&gt;H72,"WARNING","")</f>
        <v/>
      </c>
      <c r="I136" s="54" t="str">
        <f>IF(I30-I31&lt;&gt;I72,"WARNING","")</f>
        <v/>
      </c>
      <c r="K136" s="53"/>
      <c r="L136" s="57"/>
      <c r="M136" s="57"/>
      <c r="N136" s="53"/>
      <c r="O136" s="53"/>
      <c r="P136" s="53"/>
      <c r="Q136" s="53"/>
      <c r="R136" s="57"/>
      <c r="S136" s="53"/>
      <c r="T136" s="53"/>
      <c r="U136" s="685"/>
      <c r="V136" s="53"/>
      <c r="W136" s="53"/>
      <c r="X136" s="53"/>
      <c r="Y136" s="53"/>
      <c r="Z136" s="53"/>
      <c r="AA136" s="56"/>
      <c r="AB136" s="54"/>
      <c r="AC136" s="54"/>
      <c r="AD136" s="54"/>
      <c r="AE136" s="54"/>
    </row>
    <row r="137" s="130" customFormat="1" ht="11.25" customHeight="1">
      <c r="A137" s="684"/>
      <c r="B137" s="57"/>
      <c r="C137" s="57"/>
      <c r="D137" s="130"/>
      <c r="K137" s="53"/>
      <c r="L137" s="57"/>
      <c r="M137" s="57"/>
      <c r="N137" s="53"/>
      <c r="O137" s="53"/>
      <c r="P137" s="53"/>
      <c r="Q137" s="53"/>
      <c r="R137" s="57"/>
      <c r="S137" s="53"/>
      <c r="T137" s="53"/>
      <c r="U137" s="685"/>
      <c r="V137" s="53"/>
      <c r="W137" s="53"/>
      <c r="X137" s="53"/>
      <c r="Y137" s="53"/>
      <c r="Z137" s="53"/>
      <c r="AA137" s="56"/>
      <c r="AB137" s="54"/>
      <c r="AC137" s="54"/>
      <c r="AD137" s="54"/>
      <c r="AE137" s="54"/>
    </row>
    <row r="138" s="130" customFormat="1" ht="11.25" customHeight="1">
      <c r="A138" s="684"/>
      <c r="B138" s="57"/>
      <c r="C138" s="57"/>
      <c r="D138" s="130"/>
      <c r="K138" s="53"/>
      <c r="L138" s="57"/>
      <c r="M138" s="57"/>
      <c r="N138" s="53"/>
      <c r="O138" s="53"/>
      <c r="P138" s="53"/>
      <c r="Q138" s="53"/>
      <c r="R138" s="57"/>
      <c r="S138" s="53"/>
      <c r="T138" s="53"/>
      <c r="U138" s="685"/>
      <c r="V138" s="53"/>
      <c r="W138" s="53"/>
      <c r="X138" s="53"/>
      <c r="Y138" s="53"/>
      <c r="Z138" s="53"/>
      <c r="AA138" s="56"/>
      <c r="AB138" s="54"/>
      <c r="AC138" s="54"/>
      <c r="AD138" s="54"/>
      <c r="AE138" s="54"/>
    </row>
    <row r="139" s="130" customFormat="1" ht="11.25" customHeight="1">
      <c r="A139" s="684"/>
      <c r="B139" s="57"/>
      <c r="C139" s="57"/>
      <c r="D139" s="130"/>
      <c r="K139" s="53"/>
      <c r="L139" s="57"/>
      <c r="M139" s="57"/>
      <c r="N139" s="53"/>
      <c r="O139" s="53"/>
      <c r="P139" s="53"/>
      <c r="Q139" s="53"/>
      <c r="R139" s="57"/>
      <c r="S139" s="53"/>
      <c r="T139" s="53"/>
      <c r="U139" s="685"/>
      <c r="V139" s="53"/>
      <c r="W139" s="53"/>
      <c r="X139" s="53"/>
      <c r="Y139" s="53"/>
      <c r="Z139" s="53"/>
      <c r="AA139" s="56"/>
      <c r="AB139" s="54"/>
      <c r="AC139" s="54"/>
      <c r="AD139" s="54"/>
      <c r="AE139" s="54"/>
    </row>
    <row r="140" s="130" customFormat="1" ht="11.25" customHeight="1">
      <c r="A140" s="684"/>
      <c r="B140" s="57"/>
      <c r="C140" s="57"/>
      <c r="D140" s="130"/>
      <c r="K140" s="53"/>
      <c r="L140" s="57"/>
      <c r="M140" s="57"/>
      <c r="N140" s="53"/>
      <c r="O140" s="53"/>
      <c r="P140" s="53"/>
      <c r="Q140" s="53"/>
      <c r="R140" s="57"/>
      <c r="S140" s="53"/>
      <c r="T140" s="53"/>
      <c r="U140" s="685"/>
      <c r="V140" s="53"/>
      <c r="W140" s="53"/>
      <c r="X140" s="53"/>
      <c r="Y140" s="53"/>
      <c r="Z140" s="53"/>
      <c r="AA140" s="56"/>
      <c r="AB140" s="54"/>
      <c r="AC140" s="54"/>
      <c r="AD140" s="54"/>
      <c r="AE140" s="54"/>
    </row>
    <row r="141" s="130" customFormat="1" ht="11.25" customHeight="1">
      <c r="A141" s="684"/>
      <c r="B141" s="57"/>
      <c r="C141" s="57"/>
      <c r="D141" s="130"/>
      <c r="K141" s="53"/>
      <c r="L141" s="57"/>
      <c r="M141" s="57"/>
      <c r="N141" s="53"/>
      <c r="O141" s="53"/>
      <c r="P141" s="53"/>
      <c r="Q141" s="53"/>
      <c r="R141" s="57"/>
      <c r="S141" s="53"/>
      <c r="T141" s="53"/>
      <c r="U141" s="685"/>
      <c r="V141" s="53"/>
      <c r="W141" s="53"/>
      <c r="X141" s="53"/>
      <c r="Y141" s="53"/>
      <c r="Z141" s="53"/>
      <c r="AA141" s="56"/>
      <c r="AB141" s="54"/>
      <c r="AC141" s="54"/>
      <c r="AD141" s="54"/>
      <c r="AE141" s="54"/>
    </row>
    <row r="142" s="130" customFormat="1" ht="11.25" customHeight="1">
      <c r="A142" s="684"/>
      <c r="B142" s="57"/>
      <c r="C142" s="57"/>
      <c r="D142" s="130"/>
      <c r="K142" s="53"/>
      <c r="L142" s="57"/>
      <c r="M142" s="57"/>
      <c r="N142" s="53"/>
      <c r="O142" s="53"/>
      <c r="P142" s="53"/>
      <c r="Q142" s="53"/>
      <c r="R142" s="57"/>
      <c r="S142" s="53"/>
      <c r="T142" s="53"/>
      <c r="U142" s="685"/>
      <c r="V142" s="53"/>
      <c r="W142" s="53"/>
      <c r="X142" s="53"/>
      <c r="Y142" s="53"/>
      <c r="Z142" s="53"/>
      <c r="AA142" s="56"/>
      <c r="AB142" s="54"/>
      <c r="AC142" s="54"/>
      <c r="AD142" s="54"/>
      <c r="AE142" s="54"/>
    </row>
    <row r="143" s="130" customFormat="1" ht="11.25" customHeight="1">
      <c r="A143" s="684"/>
      <c r="B143" s="57"/>
      <c r="C143" s="57"/>
      <c r="D143" s="130"/>
      <c r="K143" s="53"/>
      <c r="L143" s="57"/>
      <c r="M143" s="57"/>
      <c r="N143" s="53"/>
      <c r="O143" s="53"/>
      <c r="P143" s="53"/>
      <c r="Q143" s="53"/>
      <c r="R143" s="57"/>
      <c r="S143" s="53"/>
      <c r="T143" s="53"/>
      <c r="U143" s="685"/>
      <c r="V143" s="53"/>
      <c r="W143" s="53"/>
      <c r="X143" s="53"/>
      <c r="Y143" s="53"/>
      <c r="Z143" s="53"/>
      <c r="AA143" s="56"/>
      <c r="AB143" s="54"/>
      <c r="AC143" s="54"/>
      <c r="AD143" s="54"/>
      <c r="AE143" s="54"/>
    </row>
    <row r="144" s="130" customFormat="1" ht="11.25" customHeight="1">
      <c r="A144" s="684"/>
      <c r="B144" s="57"/>
      <c r="C144" s="57"/>
      <c r="D144" s="130"/>
      <c r="K144" s="53"/>
      <c r="L144" s="57"/>
      <c r="M144" s="57"/>
      <c r="N144" s="53"/>
      <c r="O144" s="53"/>
      <c r="P144" s="53"/>
      <c r="Q144" s="53"/>
      <c r="R144" s="57"/>
      <c r="S144" s="53"/>
      <c r="T144" s="53"/>
      <c r="U144" s="685"/>
      <c r="V144" s="53"/>
      <c r="W144" s="53"/>
      <c r="X144" s="53"/>
      <c r="Y144" s="53"/>
      <c r="Z144" s="53"/>
      <c r="AA144" s="56"/>
      <c r="AB144" s="54"/>
      <c r="AC144" s="54"/>
      <c r="AD144" s="54"/>
      <c r="AE144" s="54"/>
    </row>
    <row r="145" s="130" customFormat="1" ht="11.25" customHeight="1">
      <c r="A145" s="684"/>
      <c r="B145" s="57"/>
      <c r="C145" s="57"/>
      <c r="D145" s="130"/>
      <c r="K145" s="53"/>
      <c r="L145" s="57"/>
      <c r="M145" s="57"/>
      <c r="N145" s="53"/>
      <c r="O145" s="53"/>
      <c r="P145" s="53"/>
      <c r="Q145" s="53"/>
      <c r="R145" s="57"/>
      <c r="S145" s="53"/>
      <c r="T145" s="53"/>
      <c r="U145" s="685"/>
      <c r="V145" s="53"/>
      <c r="W145" s="53"/>
      <c r="X145" s="53"/>
      <c r="Y145" s="53"/>
      <c r="Z145" s="53"/>
      <c r="AA145" s="56"/>
      <c r="AB145" s="54"/>
      <c r="AC145" s="54"/>
      <c r="AD145" s="54"/>
      <c r="AE145" s="54"/>
    </row>
    <row r="146" s="130" customFormat="1" ht="11.25" customHeight="1">
      <c r="A146" s="684"/>
      <c r="B146" s="57"/>
      <c r="C146" s="57"/>
      <c r="D146" s="130"/>
      <c r="K146" s="53"/>
      <c r="L146" s="57"/>
      <c r="M146" s="57"/>
      <c r="N146" s="53"/>
      <c r="O146" s="53"/>
      <c r="P146" s="53"/>
      <c r="Q146" s="53"/>
      <c r="R146" s="57"/>
      <c r="S146" s="53"/>
      <c r="T146" s="53"/>
      <c r="U146" s="685"/>
      <c r="V146" s="53"/>
      <c r="W146" s="53"/>
      <c r="X146" s="53"/>
      <c r="Y146" s="53"/>
      <c r="Z146" s="53"/>
      <c r="AA146" s="56"/>
      <c r="AB146" s="54"/>
      <c r="AC146" s="54"/>
      <c r="AD146" s="54"/>
      <c r="AE146" s="54"/>
    </row>
    <row r="147" s="130" customFormat="1" ht="11.25" customHeight="1">
      <c r="A147" s="684"/>
      <c r="B147" s="57"/>
      <c r="C147" s="57"/>
      <c r="D147" s="130"/>
      <c r="K147" s="53"/>
      <c r="L147" s="57"/>
      <c r="M147" s="57"/>
      <c r="N147" s="53"/>
      <c r="O147" s="53"/>
      <c r="P147" s="53"/>
      <c r="Q147" s="53"/>
      <c r="R147" s="57"/>
      <c r="S147" s="53"/>
      <c r="T147" s="53"/>
      <c r="U147" s="685"/>
      <c r="V147" s="53"/>
      <c r="W147" s="53"/>
      <c r="X147" s="53"/>
      <c r="Y147" s="53"/>
      <c r="Z147" s="53"/>
      <c r="AA147" s="56"/>
      <c r="AB147" s="54"/>
      <c r="AC147" s="54"/>
      <c r="AD147" s="54"/>
      <c r="AE147" s="54"/>
    </row>
    <row r="148" s="130" customFormat="1" ht="11.25" customHeight="1">
      <c r="A148" s="684"/>
      <c r="B148" s="57"/>
      <c r="C148" s="57"/>
      <c r="D148" s="130"/>
      <c r="K148" s="53"/>
      <c r="L148" s="57"/>
      <c r="M148" s="57"/>
      <c r="N148" s="53"/>
      <c r="O148" s="53"/>
      <c r="P148" s="53"/>
      <c r="Q148" s="53"/>
      <c r="R148" s="57"/>
      <c r="S148" s="53"/>
      <c r="T148" s="53"/>
      <c r="U148" s="685"/>
      <c r="V148" s="53"/>
      <c r="W148" s="53"/>
      <c r="X148" s="53"/>
      <c r="Y148" s="53"/>
      <c r="Z148" s="53"/>
      <c r="AA148" s="56"/>
      <c r="AB148" s="54"/>
      <c r="AC148" s="54"/>
      <c r="AD148" s="54"/>
      <c r="AE148" s="54"/>
    </row>
    <row r="149" s="130" customFormat="1" ht="11.25" customHeight="1">
      <c r="A149" s="684"/>
      <c r="B149" s="57"/>
      <c r="C149" s="57"/>
      <c r="D149" s="130"/>
      <c r="K149" s="53"/>
      <c r="L149" s="57"/>
      <c r="M149" s="57"/>
      <c r="N149" s="53"/>
      <c r="O149" s="53"/>
      <c r="P149" s="53"/>
      <c r="Q149" s="53"/>
      <c r="R149" s="57"/>
      <c r="S149" s="53"/>
      <c r="T149" s="53"/>
      <c r="U149" s="685"/>
      <c r="V149" s="53"/>
      <c r="W149" s="53"/>
      <c r="X149" s="53"/>
      <c r="Y149" s="53"/>
      <c r="Z149" s="53"/>
      <c r="AA149" s="56"/>
      <c r="AB149" s="54"/>
      <c r="AC149" s="54"/>
      <c r="AD149" s="54"/>
      <c r="AE149" s="54"/>
    </row>
    <row r="150" s="130" customFormat="1" ht="11.25" customHeight="1">
      <c r="A150" s="684"/>
      <c r="B150" s="57"/>
      <c r="C150" s="57"/>
      <c r="D150" s="130"/>
      <c r="K150" s="53"/>
      <c r="L150" s="57"/>
      <c r="M150" s="57"/>
      <c r="N150" s="53"/>
      <c r="O150" s="53"/>
      <c r="P150" s="53"/>
      <c r="Q150" s="53"/>
      <c r="R150" s="57"/>
      <c r="S150" s="53"/>
      <c r="T150" s="53"/>
      <c r="U150" s="685"/>
      <c r="V150" s="53"/>
      <c r="W150" s="53"/>
      <c r="X150" s="53"/>
      <c r="Y150" s="53"/>
      <c r="Z150" s="53"/>
      <c r="AA150" s="56"/>
      <c r="AB150" s="54"/>
      <c r="AC150" s="54"/>
      <c r="AD150" s="54"/>
      <c r="AE150" s="54"/>
    </row>
    <row r="151" s="130" customFormat="1" ht="11.25" customHeight="1">
      <c r="A151" s="684"/>
      <c r="B151" s="57"/>
      <c r="C151" s="57"/>
      <c r="D151" s="130"/>
      <c r="K151" s="53"/>
      <c r="L151" s="57"/>
      <c r="M151" s="57"/>
      <c r="N151" s="53"/>
      <c r="O151" s="53"/>
      <c r="P151" s="53"/>
      <c r="Q151" s="53"/>
      <c r="R151" s="57"/>
      <c r="S151" s="53"/>
      <c r="T151" s="53"/>
      <c r="U151" s="685"/>
      <c r="V151" s="53"/>
      <c r="W151" s="53"/>
      <c r="X151" s="53"/>
      <c r="Y151" s="53"/>
      <c r="Z151" s="53"/>
      <c r="AA151" s="56"/>
      <c r="AB151" s="54"/>
      <c r="AC151" s="54"/>
      <c r="AD151" s="54"/>
      <c r="AE151" s="54"/>
    </row>
    <row r="152" s="130" customFormat="1" ht="11.25" customHeight="1">
      <c r="A152" s="684"/>
      <c r="B152" s="57"/>
      <c r="C152" s="57"/>
      <c r="D152" s="130"/>
      <c r="K152" s="53"/>
      <c r="L152" s="57"/>
      <c r="M152" s="57"/>
      <c r="N152" s="53"/>
      <c r="O152" s="53"/>
      <c r="P152" s="53"/>
      <c r="Q152" s="53"/>
      <c r="R152" s="57"/>
      <c r="S152" s="53"/>
      <c r="T152" s="53"/>
      <c r="U152" s="685"/>
      <c r="V152" s="53"/>
      <c r="W152" s="53"/>
      <c r="X152" s="53"/>
      <c r="Y152" s="53"/>
      <c r="Z152" s="53"/>
      <c r="AA152" s="56"/>
      <c r="AB152" s="54"/>
      <c r="AC152" s="54"/>
      <c r="AD152" s="54"/>
      <c r="AE152" s="54"/>
    </row>
    <row r="153" s="130" customFormat="1" ht="11.25" customHeight="1">
      <c r="A153" s="684"/>
      <c r="B153" s="57"/>
      <c r="C153" s="57"/>
      <c r="D153" s="130"/>
      <c r="K153" s="53"/>
      <c r="L153" s="57"/>
      <c r="M153" s="57"/>
      <c r="N153" s="53"/>
      <c r="O153" s="53"/>
      <c r="P153" s="53"/>
      <c r="Q153" s="53"/>
      <c r="R153" s="57"/>
      <c r="S153" s="53"/>
      <c r="T153" s="53"/>
      <c r="U153" s="685"/>
      <c r="V153" s="53"/>
      <c r="W153" s="53"/>
      <c r="X153" s="53"/>
      <c r="Y153" s="53"/>
      <c r="Z153" s="53"/>
      <c r="AA153" s="56"/>
      <c r="AB153" s="54"/>
      <c r="AC153" s="54"/>
      <c r="AD153" s="54"/>
      <c r="AE153" s="54"/>
    </row>
    <row r="154" s="130" customFormat="1" ht="11.25" customHeight="1">
      <c r="A154" s="684"/>
      <c r="B154" s="57"/>
      <c r="C154" s="57"/>
      <c r="D154" s="130"/>
      <c r="K154" s="53"/>
      <c r="L154" s="57"/>
      <c r="M154" s="57"/>
      <c r="N154" s="53"/>
      <c r="O154" s="53"/>
      <c r="P154" s="53"/>
      <c r="Q154" s="53"/>
      <c r="R154" s="57"/>
      <c r="S154" s="53"/>
      <c r="T154" s="53"/>
      <c r="U154" s="685"/>
      <c r="V154" s="53"/>
      <c r="W154" s="53"/>
      <c r="X154" s="53"/>
      <c r="Y154" s="53"/>
      <c r="Z154" s="53"/>
      <c r="AA154" s="56"/>
      <c r="AB154" s="54"/>
      <c r="AC154" s="54"/>
      <c r="AD154" s="54"/>
      <c r="AE154" s="54"/>
    </row>
    <row r="155" s="130" customFormat="1" ht="11.25" customHeight="1">
      <c r="A155" s="684"/>
      <c r="B155" s="57"/>
      <c r="C155" s="57"/>
      <c r="D155" s="130"/>
      <c r="K155" s="53"/>
      <c r="L155" s="57"/>
      <c r="M155" s="57"/>
      <c r="N155" s="53"/>
      <c r="O155" s="53"/>
      <c r="P155" s="53"/>
      <c r="Q155" s="53"/>
      <c r="R155" s="57"/>
      <c r="S155" s="53"/>
      <c r="T155" s="53"/>
      <c r="U155" s="685"/>
      <c r="V155" s="53"/>
      <c r="W155" s="53"/>
      <c r="X155" s="53"/>
      <c r="Y155" s="53"/>
      <c r="Z155" s="53"/>
      <c r="AA155" s="56"/>
      <c r="AB155" s="54"/>
      <c r="AC155" s="54"/>
      <c r="AD155" s="54"/>
      <c r="AE155" s="54"/>
    </row>
    <row r="156" s="130" customFormat="1" ht="11.25" customHeight="1">
      <c r="A156" s="684"/>
      <c r="B156" s="57"/>
      <c r="C156" s="57"/>
      <c r="D156" s="130"/>
      <c r="K156" s="53"/>
      <c r="L156" s="57"/>
      <c r="M156" s="57"/>
      <c r="N156" s="53"/>
      <c r="O156" s="53"/>
      <c r="P156" s="53"/>
      <c r="Q156" s="53"/>
      <c r="R156" s="57"/>
      <c r="S156" s="53"/>
      <c r="T156" s="53"/>
      <c r="U156" s="685"/>
      <c r="V156" s="53"/>
      <c r="W156" s="53"/>
      <c r="X156" s="53"/>
      <c r="Y156" s="53"/>
      <c r="Z156" s="53"/>
      <c r="AA156" s="56"/>
      <c r="AB156" s="54"/>
      <c r="AC156" s="54"/>
      <c r="AD156" s="54"/>
      <c r="AE156" s="54"/>
    </row>
    <row r="157" s="130" customFormat="1" ht="11.25" customHeight="1">
      <c r="A157" s="684"/>
      <c r="B157" s="57"/>
      <c r="C157" s="57"/>
      <c r="D157" s="130"/>
      <c r="K157" s="53"/>
      <c r="L157" s="57"/>
      <c r="M157" s="57"/>
      <c r="N157" s="53"/>
      <c r="O157" s="53"/>
      <c r="P157" s="53"/>
      <c r="Q157" s="53"/>
      <c r="R157" s="57"/>
      <c r="S157" s="53"/>
      <c r="T157" s="53"/>
      <c r="U157" s="685"/>
      <c r="V157" s="53"/>
      <c r="W157" s="53"/>
      <c r="X157" s="53"/>
      <c r="Y157" s="53"/>
      <c r="Z157" s="53"/>
      <c r="AA157" s="56"/>
      <c r="AB157" s="54"/>
      <c r="AC157" s="54"/>
      <c r="AD157" s="54"/>
      <c r="AE157" s="54"/>
    </row>
    <row r="158" s="130" customFormat="1" ht="11.25" customHeight="1">
      <c r="A158" s="684"/>
      <c r="B158" s="57"/>
      <c r="C158" s="57"/>
      <c r="D158" s="130"/>
      <c r="K158" s="53"/>
      <c r="L158" s="57"/>
      <c r="M158" s="57"/>
      <c r="N158" s="53"/>
      <c r="O158" s="53"/>
      <c r="P158" s="53"/>
      <c r="Q158" s="53"/>
      <c r="R158" s="57"/>
      <c r="S158" s="53"/>
      <c r="T158" s="53"/>
      <c r="U158" s="685"/>
      <c r="V158" s="53"/>
      <c r="W158" s="53"/>
      <c r="X158" s="53"/>
      <c r="Y158" s="53"/>
      <c r="Z158" s="53"/>
      <c r="AA158" s="56"/>
      <c r="AB158" s="54"/>
      <c r="AC158" s="54"/>
      <c r="AD158" s="54"/>
      <c r="AE158" s="54"/>
    </row>
    <row r="159" s="130" customFormat="1" ht="11.25" customHeight="1">
      <c r="A159" s="684"/>
      <c r="B159" s="57"/>
      <c r="C159" s="57"/>
      <c r="D159" s="130"/>
      <c r="K159" s="53"/>
      <c r="L159" s="57"/>
      <c r="M159" s="57"/>
      <c r="N159" s="53"/>
      <c r="O159" s="53"/>
      <c r="P159" s="53"/>
      <c r="Q159" s="53"/>
      <c r="R159" s="57"/>
      <c r="S159" s="53"/>
      <c r="T159" s="53"/>
      <c r="U159" s="685"/>
      <c r="V159" s="53"/>
      <c r="W159" s="53"/>
      <c r="X159" s="53"/>
      <c r="Y159" s="53"/>
      <c r="Z159" s="53"/>
      <c r="AA159" s="56"/>
      <c r="AB159" s="54"/>
      <c r="AC159" s="54"/>
      <c r="AD159" s="54"/>
      <c r="AE159" s="54"/>
    </row>
    <row r="160" s="130" customFormat="1" ht="11.25" customHeight="1">
      <c r="A160" s="684"/>
      <c r="B160" s="57"/>
      <c r="C160" s="57"/>
      <c r="D160" s="130"/>
      <c r="K160" s="53"/>
      <c r="L160" s="57"/>
      <c r="M160" s="57"/>
      <c r="N160" s="53"/>
      <c r="O160" s="53"/>
      <c r="P160" s="53"/>
      <c r="Q160" s="53"/>
      <c r="R160" s="57"/>
      <c r="S160" s="53"/>
      <c r="T160" s="53"/>
      <c r="U160" s="685"/>
      <c r="V160" s="53"/>
      <c r="W160" s="53"/>
      <c r="X160" s="53"/>
      <c r="Y160" s="53"/>
      <c r="Z160" s="53"/>
      <c r="AA160" s="56"/>
      <c r="AB160" s="54"/>
      <c r="AC160" s="54"/>
      <c r="AD160" s="54"/>
      <c r="AE160" s="54"/>
    </row>
    <row r="161" s="130" customFormat="1" ht="11.25" customHeight="1">
      <c r="A161" s="684"/>
      <c r="B161" s="57"/>
      <c r="C161" s="57"/>
      <c r="D161" s="130"/>
      <c r="K161" s="53"/>
      <c r="L161" s="57"/>
      <c r="M161" s="57"/>
      <c r="N161" s="53"/>
      <c r="O161" s="53"/>
      <c r="P161" s="53"/>
      <c r="Q161" s="53"/>
      <c r="R161" s="57"/>
      <c r="S161" s="53"/>
      <c r="T161" s="53"/>
      <c r="U161" s="685"/>
      <c r="V161" s="53"/>
      <c r="W161" s="53"/>
      <c r="X161" s="53"/>
      <c r="Y161" s="53"/>
      <c r="Z161" s="53"/>
      <c r="AA161" s="56"/>
      <c r="AB161" s="54"/>
      <c r="AC161" s="54"/>
      <c r="AD161" s="54"/>
      <c r="AE161" s="54"/>
    </row>
    <row r="162" s="130" customFormat="1" ht="11.25" customHeight="1">
      <c r="A162" s="684"/>
      <c r="B162" s="57"/>
      <c r="C162" s="57"/>
      <c r="D162" s="130"/>
      <c r="K162" s="53"/>
      <c r="L162" s="57"/>
      <c r="M162" s="57"/>
      <c r="N162" s="53"/>
      <c r="O162" s="53"/>
      <c r="P162" s="53"/>
      <c r="Q162" s="53"/>
      <c r="R162" s="57"/>
      <c r="S162" s="53"/>
      <c r="T162" s="53"/>
      <c r="U162" s="685"/>
      <c r="V162" s="53"/>
      <c r="W162" s="53"/>
      <c r="X162" s="53"/>
      <c r="Y162" s="53"/>
      <c r="Z162" s="53"/>
      <c r="AA162" s="56"/>
      <c r="AB162" s="54"/>
      <c r="AC162" s="54"/>
      <c r="AD162" s="54"/>
      <c r="AE162" s="54"/>
    </row>
    <row r="163" s="130" customFormat="1" ht="11.25" customHeight="1">
      <c r="A163" s="684"/>
      <c r="B163" s="57"/>
      <c r="C163" s="57"/>
      <c r="D163" s="130"/>
      <c r="K163" s="53"/>
      <c r="L163" s="57"/>
      <c r="M163" s="57"/>
      <c r="N163" s="53"/>
      <c r="O163" s="53"/>
      <c r="P163" s="53"/>
      <c r="Q163" s="53"/>
      <c r="R163" s="57"/>
      <c r="S163" s="53"/>
      <c r="T163" s="53"/>
      <c r="U163" s="685"/>
      <c r="V163" s="53"/>
      <c r="W163" s="53"/>
      <c r="X163" s="53"/>
      <c r="Y163" s="53"/>
      <c r="Z163" s="53"/>
      <c r="AA163" s="56"/>
      <c r="AB163" s="54"/>
      <c r="AC163" s="54"/>
      <c r="AD163" s="54"/>
      <c r="AE163" s="54"/>
    </row>
    <row r="164" s="130" customFormat="1" ht="11.25" customHeight="1">
      <c r="A164" s="684"/>
      <c r="B164" s="57"/>
      <c r="C164" s="57"/>
      <c r="D164" s="130"/>
      <c r="K164" s="53"/>
      <c r="L164" s="57"/>
      <c r="M164" s="57"/>
      <c r="N164" s="53"/>
      <c r="O164" s="53"/>
      <c r="P164" s="53"/>
      <c r="Q164" s="53"/>
      <c r="R164" s="57"/>
      <c r="S164" s="53"/>
      <c r="T164" s="53"/>
      <c r="U164" s="685"/>
      <c r="V164" s="53"/>
      <c r="W164" s="53"/>
      <c r="X164" s="53"/>
      <c r="Y164" s="53"/>
      <c r="Z164" s="53"/>
      <c r="AA164" s="56"/>
      <c r="AB164" s="54"/>
      <c r="AC164" s="54"/>
      <c r="AD164" s="54"/>
      <c r="AE164" s="54"/>
    </row>
    <row r="165" s="130" customFormat="1" ht="11.25" customHeight="1">
      <c r="A165" s="684"/>
      <c r="B165" s="57"/>
      <c r="C165" s="57"/>
      <c r="D165" s="130"/>
      <c r="K165" s="53"/>
      <c r="L165" s="57"/>
      <c r="M165" s="57"/>
      <c r="N165" s="53"/>
      <c r="O165" s="53"/>
      <c r="P165" s="53"/>
      <c r="Q165" s="53"/>
      <c r="R165" s="57"/>
      <c r="S165" s="53"/>
      <c r="T165" s="53"/>
      <c r="U165" s="685"/>
      <c r="V165" s="53"/>
      <c r="W165" s="53"/>
      <c r="X165" s="53"/>
      <c r="Y165" s="53"/>
      <c r="Z165" s="53"/>
      <c r="AA165" s="56"/>
      <c r="AB165" s="54"/>
      <c r="AC165" s="54"/>
      <c r="AD165" s="54"/>
      <c r="AE165" s="54"/>
    </row>
    <row r="166" s="130" customFormat="1" ht="11.25" customHeight="1">
      <c r="A166" s="684"/>
      <c r="B166" s="57"/>
      <c r="C166" s="57"/>
      <c r="D166" s="130"/>
      <c r="K166" s="53"/>
      <c r="L166" s="57"/>
      <c r="M166" s="57"/>
      <c r="N166" s="53"/>
      <c r="O166" s="53"/>
      <c r="P166" s="53"/>
      <c r="Q166" s="53"/>
      <c r="R166" s="57"/>
      <c r="S166" s="53"/>
      <c r="T166" s="53"/>
      <c r="U166" s="685"/>
      <c r="V166" s="53"/>
      <c r="W166" s="53"/>
      <c r="X166" s="53"/>
      <c r="Y166" s="53"/>
      <c r="Z166" s="53"/>
      <c r="AA166" s="56"/>
      <c r="AB166" s="54"/>
      <c r="AC166" s="54"/>
      <c r="AD166" s="54"/>
      <c r="AE166" s="54"/>
    </row>
    <row r="167" s="130" customFormat="1" ht="11.25" customHeight="1">
      <c r="A167" s="684"/>
      <c r="B167" s="57"/>
      <c r="C167" s="57"/>
      <c r="D167" s="130"/>
      <c r="K167" s="53"/>
      <c r="L167" s="57"/>
      <c r="M167" s="57"/>
      <c r="N167" s="53"/>
      <c r="O167" s="53"/>
      <c r="P167" s="53"/>
      <c r="Q167" s="53"/>
      <c r="R167" s="57"/>
      <c r="S167" s="53"/>
      <c r="T167" s="53"/>
      <c r="U167" s="685"/>
      <c r="V167" s="53"/>
      <c r="W167" s="53"/>
      <c r="X167" s="53"/>
      <c r="Y167" s="53"/>
      <c r="Z167" s="53"/>
      <c r="AA167" s="56"/>
      <c r="AB167" s="54"/>
      <c r="AC167" s="54"/>
      <c r="AD167" s="54"/>
      <c r="AE167" s="54"/>
    </row>
    <row r="168" s="130" customFormat="1" ht="11.25" customHeight="1">
      <c r="A168" s="684"/>
      <c r="B168" s="57"/>
      <c r="C168" s="57"/>
      <c r="D168" s="130"/>
      <c r="K168" s="53"/>
      <c r="L168" s="57"/>
      <c r="M168" s="57"/>
      <c r="N168" s="53"/>
      <c r="O168" s="53"/>
      <c r="P168" s="53"/>
      <c r="Q168" s="53"/>
      <c r="R168" s="57"/>
      <c r="S168" s="53"/>
      <c r="T168" s="53"/>
      <c r="U168" s="685"/>
      <c r="V168" s="53"/>
      <c r="W168" s="53"/>
      <c r="X168" s="53"/>
      <c r="Y168" s="53"/>
      <c r="Z168" s="53"/>
      <c r="AA168" s="56"/>
      <c r="AB168" s="54"/>
      <c r="AC168" s="54"/>
      <c r="AD168" s="54"/>
      <c r="AE168" s="54"/>
    </row>
    <row r="169" s="130" customFormat="1" ht="11.25" customHeight="1">
      <c r="A169" s="684"/>
      <c r="B169" s="57"/>
      <c r="C169" s="57"/>
      <c r="D169" s="130"/>
      <c r="K169" s="53"/>
      <c r="L169" s="57"/>
      <c r="M169" s="57"/>
      <c r="N169" s="53"/>
      <c r="O169" s="53"/>
      <c r="P169" s="53"/>
      <c r="Q169" s="53"/>
      <c r="R169" s="57"/>
      <c r="S169" s="53"/>
      <c r="T169" s="53"/>
      <c r="U169" s="685"/>
      <c r="V169" s="53"/>
      <c r="W169" s="53"/>
      <c r="X169" s="53"/>
      <c r="Y169" s="53"/>
      <c r="Z169" s="53"/>
      <c r="AA169" s="56"/>
      <c r="AB169" s="54"/>
      <c r="AC169" s="54"/>
      <c r="AD169" s="54"/>
      <c r="AE169" s="54"/>
    </row>
    <row r="170" s="130" customFormat="1" ht="11.25" customHeight="1">
      <c r="A170" s="684"/>
      <c r="B170" s="57"/>
      <c r="C170" s="57"/>
      <c r="D170" s="130"/>
      <c r="K170" s="53"/>
      <c r="L170" s="57"/>
      <c r="M170" s="57"/>
      <c r="N170" s="53"/>
      <c r="O170" s="53"/>
      <c r="P170" s="53"/>
      <c r="Q170" s="53"/>
      <c r="R170" s="57"/>
      <c r="S170" s="53"/>
      <c r="T170" s="53"/>
      <c r="U170" s="685"/>
      <c r="V170" s="53"/>
      <c r="W170" s="53"/>
      <c r="X170" s="53"/>
      <c r="Y170" s="53"/>
      <c r="Z170" s="53"/>
      <c r="AA170" s="56"/>
      <c r="AB170" s="54"/>
      <c r="AC170" s="54"/>
      <c r="AD170" s="54"/>
      <c r="AE170" s="54"/>
    </row>
    <row r="171" s="130" customFormat="1" ht="11.25" customHeight="1">
      <c r="A171" s="684"/>
      <c r="B171" s="57"/>
      <c r="C171" s="57"/>
      <c r="D171" s="130"/>
      <c r="K171" s="53"/>
      <c r="L171" s="57"/>
      <c r="M171" s="57"/>
      <c r="N171" s="53"/>
      <c r="O171" s="53"/>
      <c r="P171" s="53"/>
      <c r="Q171" s="53"/>
      <c r="R171" s="57"/>
      <c r="S171" s="53"/>
      <c r="T171" s="53"/>
      <c r="U171" s="685"/>
      <c r="V171" s="53"/>
      <c r="W171" s="53"/>
      <c r="X171" s="53"/>
      <c r="Y171" s="53"/>
      <c r="Z171" s="53"/>
      <c r="AA171" s="56"/>
      <c r="AB171" s="54"/>
      <c r="AC171" s="54"/>
      <c r="AD171" s="54"/>
      <c r="AE171" s="54"/>
    </row>
    <row r="172" s="130" customFormat="1" ht="11.25" customHeight="1">
      <c r="A172" s="684"/>
      <c r="B172" s="57"/>
      <c r="C172" s="57"/>
      <c r="D172" s="130"/>
      <c r="K172" s="53"/>
      <c r="L172" s="57"/>
      <c r="M172" s="57"/>
      <c r="N172" s="53"/>
      <c r="O172" s="53"/>
      <c r="P172" s="53"/>
      <c r="Q172" s="53"/>
      <c r="R172" s="57"/>
      <c r="S172" s="53"/>
      <c r="T172" s="53"/>
      <c r="U172" s="685"/>
      <c r="V172" s="53"/>
      <c r="W172" s="53"/>
      <c r="X172" s="53"/>
      <c r="Y172" s="53"/>
      <c r="Z172" s="53"/>
      <c r="AA172" s="56"/>
      <c r="AB172" s="54"/>
      <c r="AC172" s="54"/>
      <c r="AD172" s="54"/>
      <c r="AE172" s="54"/>
    </row>
    <row r="173" s="130" customFormat="1" ht="11.25" customHeight="1">
      <c r="A173" s="684"/>
      <c r="B173" s="57"/>
      <c r="C173" s="57"/>
      <c r="D173" s="130"/>
      <c r="K173" s="53"/>
      <c r="L173" s="57"/>
      <c r="M173" s="57"/>
      <c r="N173" s="53"/>
      <c r="O173" s="53"/>
      <c r="P173" s="53"/>
      <c r="Q173" s="53"/>
      <c r="R173" s="57"/>
      <c r="S173" s="53"/>
      <c r="T173" s="53"/>
      <c r="U173" s="685"/>
      <c r="V173" s="53"/>
      <c r="W173" s="53"/>
      <c r="X173" s="53"/>
      <c r="Y173" s="53"/>
      <c r="Z173" s="53"/>
      <c r="AA173" s="56"/>
      <c r="AB173" s="54"/>
      <c r="AC173" s="54"/>
      <c r="AD173" s="54"/>
      <c r="AE173" s="54"/>
    </row>
    <row r="174" s="130" customFormat="1" ht="11.25" customHeight="1">
      <c r="A174" s="684"/>
      <c r="B174" s="57"/>
      <c r="C174" s="57"/>
      <c r="D174" s="130"/>
      <c r="K174" s="53"/>
      <c r="L174" s="57"/>
      <c r="M174" s="57"/>
      <c r="N174" s="53"/>
      <c r="O174" s="53"/>
      <c r="P174" s="53"/>
      <c r="Q174" s="53"/>
      <c r="R174" s="57"/>
      <c r="S174" s="53"/>
      <c r="T174" s="53"/>
      <c r="U174" s="685"/>
      <c r="V174" s="53"/>
      <c r="W174" s="53"/>
      <c r="X174" s="53"/>
      <c r="Y174" s="53"/>
      <c r="Z174" s="53"/>
      <c r="AA174" s="56"/>
      <c r="AB174" s="54"/>
      <c r="AC174" s="54"/>
      <c r="AD174" s="54"/>
      <c r="AE174" s="54"/>
    </row>
    <row r="175" s="130" customFormat="1" ht="11.25" customHeight="1">
      <c r="A175" s="684"/>
      <c r="B175" s="57"/>
      <c r="C175" s="57"/>
      <c r="D175" s="130"/>
      <c r="K175" s="53"/>
      <c r="L175" s="57"/>
      <c r="M175" s="57"/>
      <c r="N175" s="53"/>
      <c r="O175" s="53"/>
      <c r="P175" s="53"/>
      <c r="Q175" s="53"/>
      <c r="R175" s="57"/>
      <c r="S175" s="53"/>
      <c r="T175" s="53"/>
      <c r="U175" s="685"/>
      <c r="V175" s="53"/>
      <c r="W175" s="53"/>
      <c r="X175" s="53"/>
      <c r="Y175" s="53"/>
      <c r="Z175" s="53"/>
      <c r="AA175" s="56"/>
      <c r="AB175" s="54"/>
      <c r="AC175" s="54"/>
      <c r="AD175" s="54"/>
      <c r="AE175" s="54"/>
    </row>
    <row r="176" s="130" customFormat="1" ht="11.25" customHeight="1">
      <c r="A176" s="684"/>
      <c r="B176" s="57"/>
      <c r="C176" s="57"/>
      <c r="D176" s="130"/>
      <c r="K176" s="53"/>
      <c r="L176" s="57"/>
      <c r="M176" s="57"/>
      <c r="N176" s="53"/>
      <c r="O176" s="53"/>
      <c r="P176" s="53"/>
      <c r="Q176" s="53"/>
      <c r="R176" s="57"/>
      <c r="S176" s="53"/>
      <c r="T176" s="53"/>
      <c r="U176" s="685"/>
      <c r="V176" s="53"/>
      <c r="W176" s="53"/>
      <c r="X176" s="53"/>
      <c r="Y176" s="53"/>
      <c r="Z176" s="53"/>
      <c r="AA176" s="56"/>
      <c r="AB176" s="54"/>
      <c r="AC176" s="54"/>
      <c r="AD176" s="54"/>
      <c r="AE176" s="54"/>
    </row>
    <row r="177" s="130" customFormat="1" ht="11.25" customHeight="1">
      <c r="A177" s="684"/>
      <c r="B177" s="57"/>
      <c r="C177" s="57"/>
      <c r="D177" s="130"/>
      <c r="K177" s="53"/>
      <c r="L177" s="57"/>
      <c r="M177" s="57"/>
      <c r="N177" s="53"/>
      <c r="O177" s="53"/>
      <c r="P177" s="53"/>
      <c r="Q177" s="53"/>
      <c r="R177" s="57"/>
      <c r="S177" s="53"/>
      <c r="T177" s="53"/>
      <c r="U177" s="685"/>
      <c r="V177" s="53"/>
      <c r="W177" s="53"/>
      <c r="X177" s="53"/>
      <c r="Y177" s="53"/>
      <c r="Z177" s="53"/>
      <c r="AA177" s="56"/>
      <c r="AB177" s="54"/>
      <c r="AC177" s="54"/>
      <c r="AD177" s="54"/>
      <c r="AE177" s="54"/>
    </row>
    <row r="178" s="130" customFormat="1" ht="11.25" customHeight="1">
      <c r="A178" s="684"/>
      <c r="B178" s="57"/>
      <c r="C178" s="57"/>
      <c r="D178" s="130"/>
      <c r="K178" s="53"/>
      <c r="L178" s="57"/>
      <c r="M178" s="57"/>
      <c r="N178" s="53"/>
      <c r="O178" s="53"/>
      <c r="P178" s="53"/>
      <c r="Q178" s="53"/>
      <c r="R178" s="57"/>
      <c r="S178" s="53"/>
      <c r="T178" s="53"/>
      <c r="U178" s="685"/>
      <c r="V178" s="53"/>
      <c r="W178" s="53"/>
      <c r="X178" s="53"/>
      <c r="Y178" s="53"/>
      <c r="Z178" s="53"/>
      <c r="AA178" s="56"/>
      <c r="AB178" s="54"/>
      <c r="AC178" s="54"/>
      <c r="AD178" s="54"/>
      <c r="AE178" s="54"/>
    </row>
    <row r="179" s="130" customFormat="1" ht="11.25" customHeight="1">
      <c r="A179" s="684"/>
      <c r="B179" s="57"/>
      <c r="C179" s="57"/>
      <c r="D179" s="130"/>
      <c r="K179" s="53"/>
      <c r="L179" s="57"/>
      <c r="M179" s="57"/>
      <c r="N179" s="53"/>
      <c r="O179" s="53"/>
      <c r="P179" s="53"/>
      <c r="Q179" s="53"/>
      <c r="R179" s="57"/>
      <c r="S179" s="53"/>
      <c r="T179" s="53"/>
      <c r="U179" s="685"/>
      <c r="V179" s="53"/>
      <c r="W179" s="53"/>
      <c r="X179" s="53"/>
      <c r="Y179" s="53"/>
      <c r="Z179" s="53"/>
      <c r="AA179" s="56"/>
      <c r="AB179" s="54"/>
      <c r="AC179" s="54"/>
      <c r="AD179" s="54"/>
      <c r="AE179" s="54"/>
    </row>
    <row r="180" s="130" customFormat="1" ht="11.25" customHeight="1">
      <c r="A180" s="684"/>
      <c r="B180" s="57"/>
      <c r="C180" s="57"/>
      <c r="D180" s="130"/>
      <c r="K180" s="53"/>
      <c r="L180" s="57"/>
      <c r="M180" s="57"/>
      <c r="N180" s="53"/>
      <c r="O180" s="53"/>
      <c r="P180" s="53"/>
      <c r="Q180" s="53"/>
      <c r="R180" s="57"/>
      <c r="S180" s="53"/>
      <c r="T180" s="53"/>
      <c r="U180" s="685"/>
      <c r="V180" s="53"/>
      <c r="W180" s="53"/>
      <c r="X180" s="53"/>
      <c r="Y180" s="53"/>
      <c r="Z180" s="53"/>
      <c r="AA180" s="56"/>
      <c r="AB180" s="54"/>
      <c r="AC180" s="54"/>
      <c r="AD180" s="54"/>
      <c r="AE180" s="54"/>
    </row>
    <row r="181" s="130" customFormat="1" ht="11.25" customHeight="1">
      <c r="A181" s="684"/>
      <c r="B181" s="57"/>
      <c r="C181" s="57"/>
      <c r="D181" s="130"/>
      <c r="K181" s="53"/>
      <c r="L181" s="57"/>
      <c r="M181" s="57"/>
      <c r="N181" s="53"/>
      <c r="O181" s="53"/>
      <c r="P181" s="53"/>
      <c r="Q181" s="53"/>
      <c r="R181" s="57"/>
      <c r="S181" s="53"/>
      <c r="T181" s="53"/>
      <c r="U181" s="685"/>
      <c r="V181" s="53"/>
      <c r="W181" s="53"/>
      <c r="X181" s="53"/>
      <c r="Y181" s="53"/>
      <c r="Z181" s="53"/>
      <c r="AA181" s="56"/>
      <c r="AB181" s="54"/>
      <c r="AC181" s="54"/>
      <c r="AD181" s="54"/>
      <c r="AE181" s="54"/>
    </row>
    <row r="182" s="130" customFormat="1" ht="11.25" customHeight="1">
      <c r="A182" s="684"/>
      <c r="B182" s="57"/>
      <c r="C182" s="57"/>
      <c r="D182" s="130"/>
      <c r="K182" s="53"/>
      <c r="L182" s="57"/>
      <c r="M182" s="57"/>
      <c r="N182" s="53"/>
      <c r="O182" s="53"/>
      <c r="P182" s="53"/>
      <c r="Q182" s="53"/>
      <c r="R182" s="57"/>
      <c r="S182" s="53"/>
      <c r="T182" s="53"/>
      <c r="U182" s="685"/>
      <c r="V182" s="53"/>
      <c r="W182" s="53"/>
      <c r="X182" s="53"/>
      <c r="Y182" s="53"/>
      <c r="Z182" s="53"/>
      <c r="AA182" s="56"/>
      <c r="AB182" s="54"/>
      <c r="AC182" s="54"/>
      <c r="AD182" s="54"/>
      <c r="AE182" s="54"/>
    </row>
    <row r="183" s="130" customFormat="1" ht="11.25" customHeight="1">
      <c r="A183" s="684"/>
      <c r="B183" s="57"/>
      <c r="C183" s="57"/>
      <c r="D183" s="130"/>
      <c r="K183" s="53"/>
      <c r="L183" s="57"/>
      <c r="M183" s="57"/>
      <c r="N183" s="53"/>
      <c r="O183" s="53"/>
      <c r="P183" s="53"/>
      <c r="Q183" s="53"/>
      <c r="R183" s="57"/>
      <c r="S183" s="53"/>
      <c r="T183" s="53"/>
      <c r="U183" s="685"/>
      <c r="V183" s="53"/>
      <c r="W183" s="53"/>
      <c r="X183" s="53"/>
      <c r="Y183" s="53"/>
      <c r="Z183" s="53"/>
      <c r="AA183" s="56"/>
      <c r="AB183" s="54"/>
      <c r="AC183" s="54"/>
      <c r="AD183" s="54"/>
      <c r="AE183" s="54"/>
    </row>
    <row r="184" s="130" customFormat="1" ht="11.25" customHeight="1">
      <c r="A184" s="684"/>
      <c r="B184" s="57"/>
      <c r="C184" s="57"/>
      <c r="D184" s="130"/>
      <c r="K184" s="53"/>
      <c r="L184" s="57"/>
      <c r="M184" s="57"/>
      <c r="N184" s="53"/>
      <c r="O184" s="53"/>
      <c r="P184" s="53"/>
      <c r="Q184" s="53"/>
      <c r="R184" s="57"/>
      <c r="S184" s="53"/>
      <c r="T184" s="53"/>
      <c r="U184" s="685"/>
      <c r="V184" s="53"/>
      <c r="W184" s="53"/>
      <c r="X184" s="53"/>
      <c r="Y184" s="53"/>
      <c r="Z184" s="53"/>
      <c r="AA184" s="56"/>
      <c r="AB184" s="54"/>
      <c r="AC184" s="54"/>
      <c r="AD184" s="54"/>
      <c r="AE184" s="54"/>
    </row>
    <row r="185" s="130" customFormat="1" ht="11.25" customHeight="1">
      <c r="A185" s="684"/>
      <c r="B185" s="57"/>
      <c r="C185" s="57"/>
      <c r="D185" s="130"/>
      <c r="K185" s="53"/>
      <c r="L185" s="57"/>
      <c r="M185" s="57"/>
      <c r="N185" s="53"/>
      <c r="O185" s="53"/>
      <c r="P185" s="53"/>
      <c r="Q185" s="53"/>
      <c r="R185" s="57"/>
      <c r="S185" s="53"/>
      <c r="T185" s="53"/>
      <c r="U185" s="685"/>
      <c r="V185" s="53"/>
      <c r="W185" s="53"/>
      <c r="X185" s="53"/>
      <c r="Y185" s="53"/>
      <c r="Z185" s="53"/>
      <c r="AA185" s="56"/>
      <c r="AB185" s="54"/>
      <c r="AC185" s="54"/>
      <c r="AD185" s="54"/>
      <c r="AE185" s="54"/>
    </row>
    <row r="186" s="130" customFormat="1" ht="11.25" customHeight="1">
      <c r="A186" s="684"/>
      <c r="B186" s="57"/>
      <c r="C186" s="57"/>
      <c r="D186" s="130"/>
      <c r="K186" s="53"/>
      <c r="L186" s="57"/>
      <c r="M186" s="57"/>
      <c r="N186" s="53"/>
      <c r="O186" s="53"/>
      <c r="P186" s="53"/>
      <c r="Q186" s="53"/>
      <c r="R186" s="57"/>
      <c r="S186" s="53"/>
      <c r="T186" s="53"/>
      <c r="U186" s="685"/>
      <c r="V186" s="53"/>
      <c r="W186" s="53"/>
      <c r="X186" s="53"/>
      <c r="Y186" s="53"/>
      <c r="Z186" s="53"/>
      <c r="AA186" s="56"/>
      <c r="AB186" s="54"/>
      <c r="AC186" s="54"/>
      <c r="AD186" s="54"/>
      <c r="AE186" s="54"/>
    </row>
    <row r="187" s="130" customFormat="1" ht="11.25" customHeight="1">
      <c r="A187" s="684"/>
      <c r="B187" s="57"/>
      <c r="C187" s="57"/>
      <c r="D187" s="130"/>
      <c r="K187" s="53"/>
      <c r="L187" s="57"/>
      <c r="M187" s="57"/>
      <c r="N187" s="53"/>
      <c r="O187" s="53"/>
      <c r="P187" s="53"/>
      <c r="Q187" s="53"/>
      <c r="R187" s="57"/>
      <c r="S187" s="53"/>
      <c r="T187" s="53"/>
      <c r="U187" s="685"/>
      <c r="V187" s="53"/>
      <c r="W187" s="53"/>
      <c r="X187" s="53"/>
      <c r="Y187" s="53"/>
      <c r="Z187" s="53"/>
      <c r="AA187" s="56"/>
      <c r="AB187" s="54"/>
      <c r="AC187" s="54"/>
      <c r="AD187" s="54"/>
      <c r="AE187" s="54"/>
    </row>
    <row r="188" s="130" customFormat="1" ht="11.25" customHeight="1">
      <c r="A188" s="684"/>
      <c r="B188" s="57"/>
      <c r="C188" s="57"/>
      <c r="D188" s="130"/>
      <c r="K188" s="53"/>
      <c r="L188" s="57"/>
      <c r="M188" s="57"/>
      <c r="N188" s="53"/>
      <c r="O188" s="53"/>
      <c r="P188" s="53"/>
      <c r="Q188" s="53"/>
      <c r="R188" s="57"/>
      <c r="S188" s="53"/>
      <c r="T188" s="53"/>
      <c r="U188" s="685"/>
      <c r="V188" s="53"/>
      <c r="W188" s="53"/>
      <c r="X188" s="53"/>
      <c r="Y188" s="53"/>
      <c r="Z188" s="53"/>
      <c r="AA188" s="56"/>
      <c r="AB188" s="54"/>
      <c r="AC188" s="54"/>
      <c r="AD188" s="54"/>
      <c r="AE188" s="54"/>
    </row>
    <row r="189" s="130" customFormat="1" ht="11.25" customHeight="1">
      <c r="A189" s="684"/>
      <c r="B189" s="57"/>
      <c r="C189" s="57"/>
      <c r="D189" s="130"/>
      <c r="K189" s="53"/>
      <c r="L189" s="57"/>
      <c r="M189" s="57"/>
      <c r="N189" s="53"/>
      <c r="O189" s="53"/>
      <c r="P189" s="53"/>
      <c r="Q189" s="53"/>
      <c r="R189" s="57"/>
      <c r="S189" s="53"/>
      <c r="T189" s="53"/>
      <c r="U189" s="685"/>
      <c r="V189" s="53"/>
      <c r="W189" s="53"/>
      <c r="X189" s="53"/>
      <c r="Y189" s="53"/>
      <c r="Z189" s="53"/>
      <c r="AA189" s="56"/>
      <c r="AB189" s="54"/>
      <c r="AC189" s="54"/>
      <c r="AD189" s="54"/>
      <c r="AE189" s="54"/>
    </row>
    <row r="190" s="130" customFormat="1" ht="11.25" customHeight="1">
      <c r="A190" s="684"/>
      <c r="B190" s="57"/>
      <c r="C190" s="57"/>
      <c r="D190" s="130"/>
      <c r="K190" s="53"/>
      <c r="L190" s="57"/>
      <c r="M190" s="57"/>
      <c r="N190" s="53"/>
      <c r="O190" s="53"/>
      <c r="P190" s="53"/>
      <c r="Q190" s="53"/>
      <c r="R190" s="57"/>
      <c r="S190" s="53"/>
      <c r="T190" s="53"/>
      <c r="U190" s="685"/>
      <c r="V190" s="53"/>
      <c r="W190" s="53"/>
      <c r="X190" s="53"/>
      <c r="Y190" s="53"/>
      <c r="Z190" s="53"/>
      <c r="AA190" s="56"/>
      <c r="AB190" s="54"/>
      <c r="AC190" s="54"/>
      <c r="AD190" s="54"/>
      <c r="AE190" s="54"/>
    </row>
    <row r="191" s="130" customFormat="1" ht="11.25" customHeight="1">
      <c r="A191" s="684"/>
      <c r="B191" s="57"/>
      <c r="C191" s="57"/>
      <c r="D191" s="130"/>
      <c r="K191" s="53"/>
      <c r="L191" s="57"/>
      <c r="M191" s="57"/>
      <c r="N191" s="53"/>
      <c r="O191" s="53"/>
      <c r="P191" s="53"/>
      <c r="Q191" s="53"/>
      <c r="R191" s="57"/>
      <c r="S191" s="53"/>
      <c r="T191" s="53"/>
      <c r="U191" s="685"/>
      <c r="V191" s="53"/>
      <c r="W191" s="53"/>
      <c r="X191" s="53"/>
      <c r="Y191" s="53"/>
      <c r="Z191" s="53"/>
      <c r="AA191" s="56"/>
      <c r="AB191" s="54"/>
      <c r="AC191" s="54"/>
      <c r="AD191" s="54"/>
      <c r="AE191" s="54"/>
    </row>
    <row r="192" s="130" customFormat="1" ht="11.25" customHeight="1">
      <c r="A192" s="684"/>
      <c r="B192" s="57"/>
      <c r="C192" s="57"/>
      <c r="D192" s="130"/>
      <c r="K192" s="53"/>
      <c r="L192" s="57"/>
      <c r="M192" s="57"/>
      <c r="N192" s="53"/>
      <c r="O192" s="53"/>
      <c r="P192" s="53"/>
      <c r="Q192" s="53"/>
      <c r="R192" s="57"/>
      <c r="S192" s="53"/>
      <c r="T192" s="53"/>
      <c r="U192" s="685"/>
      <c r="V192" s="53"/>
      <c r="W192" s="53"/>
      <c r="X192" s="53"/>
      <c r="Y192" s="53"/>
      <c r="Z192" s="53"/>
      <c r="AA192" s="56"/>
      <c r="AB192" s="54"/>
      <c r="AC192" s="54"/>
      <c r="AD192" s="54"/>
      <c r="AE192" s="54"/>
    </row>
    <row r="193" s="130" customFormat="1" ht="11.25" customHeight="1">
      <c r="A193" s="684"/>
      <c r="B193" s="57"/>
      <c r="C193" s="57"/>
      <c r="D193" s="130"/>
      <c r="K193" s="53"/>
      <c r="L193" s="57"/>
      <c r="M193" s="57"/>
      <c r="N193" s="53"/>
      <c r="O193" s="53"/>
      <c r="P193" s="53"/>
      <c r="Q193" s="53"/>
      <c r="R193" s="57"/>
      <c r="S193" s="53"/>
      <c r="T193" s="53"/>
      <c r="U193" s="685"/>
      <c r="V193" s="53"/>
      <c r="W193" s="53"/>
      <c r="X193" s="53"/>
      <c r="Y193" s="53"/>
      <c r="Z193" s="53"/>
      <c r="AA193" s="56"/>
      <c r="AB193" s="54"/>
      <c r="AC193" s="54"/>
      <c r="AD193" s="54"/>
      <c r="AE193" s="54"/>
    </row>
    <row r="194" s="130" customFormat="1" ht="11.25" customHeight="1">
      <c r="A194" s="684"/>
      <c r="B194" s="57"/>
      <c r="C194" s="57"/>
      <c r="D194" s="130"/>
      <c r="K194" s="53"/>
      <c r="L194" s="57"/>
      <c r="M194" s="57"/>
      <c r="N194" s="53"/>
      <c r="O194" s="53"/>
      <c r="P194" s="53"/>
      <c r="Q194" s="53"/>
      <c r="R194" s="57"/>
      <c r="S194" s="53"/>
      <c r="T194" s="53"/>
      <c r="U194" s="685"/>
      <c r="V194" s="53"/>
      <c r="W194" s="53"/>
      <c r="X194" s="53"/>
      <c r="Y194" s="53"/>
      <c r="Z194" s="53"/>
      <c r="AA194" s="56"/>
      <c r="AB194" s="54"/>
      <c r="AC194" s="54"/>
      <c r="AD194" s="54"/>
      <c r="AE194" s="54"/>
    </row>
    <row r="195" s="130" customFormat="1" ht="11.25" customHeight="1">
      <c r="A195" s="684"/>
      <c r="B195" s="57"/>
      <c r="C195" s="57"/>
      <c r="D195" s="130"/>
      <c r="K195" s="53"/>
      <c r="L195" s="57"/>
      <c r="M195" s="57"/>
      <c r="N195" s="53"/>
      <c r="O195" s="53"/>
      <c r="P195" s="53"/>
      <c r="Q195" s="53"/>
      <c r="R195" s="57"/>
      <c r="S195" s="53"/>
      <c r="T195" s="53"/>
      <c r="U195" s="685"/>
      <c r="V195" s="53"/>
      <c r="W195" s="53"/>
      <c r="X195" s="53"/>
      <c r="Y195" s="53"/>
      <c r="Z195" s="53"/>
      <c r="AA195" s="56"/>
      <c r="AB195" s="54"/>
      <c r="AC195" s="54"/>
      <c r="AD195" s="54"/>
      <c r="AE195" s="54"/>
    </row>
    <row r="196" s="130" customFormat="1" ht="11.25" customHeight="1">
      <c r="A196" s="684"/>
      <c r="B196" s="57"/>
      <c r="C196" s="57"/>
      <c r="D196" s="130"/>
      <c r="K196" s="53"/>
      <c r="L196" s="57"/>
      <c r="M196" s="57"/>
      <c r="N196" s="53"/>
      <c r="O196" s="53"/>
      <c r="P196" s="53"/>
      <c r="Q196" s="53"/>
      <c r="R196" s="57"/>
      <c r="S196" s="53"/>
      <c r="T196" s="53"/>
      <c r="U196" s="685"/>
      <c r="V196" s="53"/>
      <c r="W196" s="53"/>
      <c r="X196" s="53"/>
      <c r="Y196" s="53"/>
      <c r="Z196" s="53"/>
      <c r="AA196" s="56"/>
      <c r="AB196" s="54"/>
      <c r="AC196" s="54"/>
      <c r="AD196" s="54"/>
      <c r="AE196" s="54"/>
    </row>
    <row r="197" s="130" customFormat="1" ht="11.25" customHeight="1">
      <c r="A197" s="684"/>
      <c r="B197" s="57"/>
      <c r="C197" s="57"/>
      <c r="D197" s="130"/>
      <c r="K197" s="53"/>
      <c r="L197" s="57"/>
      <c r="M197" s="57"/>
      <c r="N197" s="53"/>
      <c r="O197" s="53"/>
      <c r="P197" s="53"/>
      <c r="Q197" s="53"/>
      <c r="R197" s="57"/>
      <c r="S197" s="53"/>
      <c r="T197" s="53"/>
      <c r="U197" s="685"/>
      <c r="V197" s="53"/>
      <c r="W197" s="53"/>
      <c r="X197" s="53"/>
      <c r="Y197" s="53"/>
      <c r="Z197" s="53"/>
      <c r="AA197" s="56"/>
      <c r="AB197" s="54"/>
      <c r="AC197" s="54"/>
      <c r="AD197" s="54"/>
      <c r="AE197" s="54"/>
    </row>
    <row r="198" s="130" customFormat="1" ht="11.25" customHeight="1">
      <c r="A198" s="684"/>
      <c r="B198" s="57"/>
      <c r="C198" s="57"/>
      <c r="D198" s="130"/>
      <c r="K198" s="53"/>
      <c r="L198" s="57"/>
      <c r="M198" s="57"/>
      <c r="N198" s="53"/>
      <c r="O198" s="53"/>
      <c r="P198" s="53"/>
      <c r="Q198" s="53"/>
      <c r="R198" s="57"/>
      <c r="S198" s="53"/>
      <c r="T198" s="53"/>
      <c r="U198" s="685"/>
      <c r="V198" s="53"/>
      <c r="W198" s="53"/>
      <c r="X198" s="53"/>
      <c r="Y198" s="53"/>
      <c r="Z198" s="53"/>
      <c r="AA198" s="56"/>
      <c r="AB198" s="54"/>
      <c r="AC198" s="54"/>
      <c r="AD198" s="54"/>
      <c r="AE198" s="54"/>
    </row>
    <row r="199" s="130" customFormat="1" ht="11.25" customHeight="1">
      <c r="A199" s="684"/>
      <c r="B199" s="57"/>
      <c r="C199" s="57"/>
      <c r="D199" s="130"/>
      <c r="K199" s="53"/>
      <c r="L199" s="57"/>
      <c r="M199" s="57"/>
      <c r="N199" s="53"/>
      <c r="O199" s="53"/>
      <c r="P199" s="53"/>
      <c r="Q199" s="53"/>
      <c r="R199" s="57"/>
      <c r="S199" s="53"/>
      <c r="T199" s="53"/>
      <c r="U199" s="685"/>
      <c r="V199" s="53"/>
      <c r="W199" s="53"/>
      <c r="X199" s="53"/>
      <c r="Y199" s="53"/>
      <c r="Z199" s="53"/>
      <c r="AA199" s="56"/>
      <c r="AB199" s="54"/>
      <c r="AC199" s="54"/>
      <c r="AD199" s="54"/>
      <c r="AE199" s="54"/>
    </row>
    <row r="200" s="130" customFormat="1" ht="11.25" customHeight="1">
      <c r="A200" s="684"/>
      <c r="B200" s="57"/>
      <c r="C200" s="57"/>
      <c r="D200" s="130"/>
      <c r="K200" s="53"/>
      <c r="L200" s="57"/>
      <c r="M200" s="57"/>
      <c r="N200" s="53"/>
      <c r="O200" s="53"/>
      <c r="P200" s="53"/>
      <c r="Q200" s="53"/>
      <c r="R200" s="57"/>
      <c r="S200" s="53"/>
      <c r="T200" s="53"/>
      <c r="U200" s="685"/>
      <c r="V200" s="53"/>
      <c r="W200" s="53"/>
      <c r="X200" s="53"/>
      <c r="Y200" s="53"/>
      <c r="Z200" s="53"/>
      <c r="AA200" s="56"/>
      <c r="AB200" s="54"/>
      <c r="AC200" s="54"/>
      <c r="AD200" s="54"/>
      <c r="AE200" s="54"/>
    </row>
    <row r="201" s="130" customFormat="1" ht="11.25" customHeight="1">
      <c r="A201" s="684"/>
      <c r="B201" s="57"/>
      <c r="C201" s="57"/>
      <c r="D201" s="130"/>
      <c r="K201" s="53"/>
      <c r="L201" s="57"/>
      <c r="M201" s="57"/>
      <c r="N201" s="53"/>
      <c r="O201" s="53"/>
      <c r="P201" s="53"/>
      <c r="Q201" s="53"/>
      <c r="R201" s="57"/>
      <c r="S201" s="53"/>
      <c r="T201" s="53"/>
      <c r="U201" s="685"/>
      <c r="V201" s="53"/>
      <c r="W201" s="53"/>
      <c r="X201" s="53"/>
      <c r="Y201" s="53"/>
      <c r="Z201" s="53"/>
      <c r="AA201" s="56"/>
      <c r="AB201" s="54"/>
      <c r="AC201" s="54"/>
      <c r="AD201" s="54"/>
      <c r="AE201" s="54"/>
    </row>
    <row r="202" s="130" customFormat="1" ht="11.25" customHeight="1">
      <c r="A202" s="684"/>
      <c r="B202" s="57"/>
      <c r="C202" s="57"/>
      <c r="D202" s="130"/>
      <c r="K202" s="53"/>
      <c r="L202" s="57"/>
      <c r="M202" s="57"/>
      <c r="N202" s="53"/>
      <c r="O202" s="53"/>
      <c r="P202" s="53"/>
      <c r="Q202" s="53"/>
      <c r="R202" s="57"/>
      <c r="S202" s="53"/>
      <c r="T202" s="53"/>
      <c r="U202" s="685"/>
      <c r="V202" s="53"/>
      <c r="W202" s="53"/>
      <c r="X202" s="53"/>
      <c r="Y202" s="53"/>
      <c r="Z202" s="53"/>
      <c r="AA202" s="56"/>
      <c r="AB202" s="54"/>
      <c r="AC202" s="54"/>
      <c r="AD202" s="54"/>
      <c r="AE202" s="54"/>
    </row>
    <row r="203" s="130" customFormat="1" ht="11.25" customHeight="1">
      <c r="A203" s="684"/>
      <c r="B203" s="57"/>
      <c r="C203" s="57"/>
      <c r="D203" s="130"/>
      <c r="K203" s="53"/>
      <c r="L203" s="57"/>
      <c r="M203" s="57"/>
      <c r="N203" s="53"/>
      <c r="O203" s="53"/>
      <c r="P203" s="53"/>
      <c r="Q203" s="53"/>
      <c r="R203" s="57"/>
      <c r="S203" s="53"/>
      <c r="T203" s="53"/>
      <c r="U203" s="685"/>
      <c r="V203" s="53"/>
      <c r="W203" s="53"/>
      <c r="X203" s="53"/>
      <c r="Y203" s="53"/>
      <c r="Z203" s="53"/>
      <c r="AA203" s="56"/>
      <c r="AB203" s="54"/>
      <c r="AC203" s="54"/>
      <c r="AD203" s="54"/>
      <c r="AE203" s="54"/>
    </row>
    <row r="204" s="130" customFormat="1" ht="11.25" customHeight="1">
      <c r="A204" s="684"/>
      <c r="B204" s="57"/>
      <c r="C204" s="57"/>
      <c r="D204" s="130"/>
      <c r="K204" s="53"/>
      <c r="L204" s="57"/>
      <c r="M204" s="57"/>
      <c r="N204" s="53"/>
      <c r="O204" s="53"/>
      <c r="P204" s="53"/>
      <c r="Q204" s="53"/>
      <c r="R204" s="57"/>
      <c r="S204" s="53"/>
      <c r="T204" s="53"/>
      <c r="U204" s="685"/>
      <c r="V204" s="53"/>
      <c r="W204" s="53"/>
      <c r="X204" s="53"/>
      <c r="Y204" s="53"/>
      <c r="Z204" s="53"/>
      <c r="AA204" s="56"/>
      <c r="AB204" s="54"/>
      <c r="AC204" s="54"/>
      <c r="AD204" s="54"/>
      <c r="AE204" s="54"/>
    </row>
    <row r="205" s="130" customFormat="1" ht="11.25" customHeight="1">
      <c r="A205" s="684"/>
      <c r="B205" s="57"/>
      <c r="C205" s="57"/>
      <c r="D205" s="130"/>
      <c r="K205" s="53"/>
      <c r="L205" s="57"/>
      <c r="M205" s="57"/>
      <c r="N205" s="53"/>
      <c r="O205" s="53"/>
      <c r="P205" s="53"/>
      <c r="Q205" s="53"/>
      <c r="R205" s="57"/>
      <c r="S205" s="53"/>
      <c r="T205" s="53"/>
      <c r="U205" s="685"/>
      <c r="V205" s="53"/>
      <c r="W205" s="53"/>
      <c r="X205" s="53"/>
      <c r="Y205" s="53"/>
      <c r="Z205" s="53"/>
      <c r="AA205" s="56"/>
      <c r="AB205" s="54"/>
      <c r="AC205" s="54"/>
      <c r="AD205" s="54"/>
      <c r="AE205" s="54"/>
    </row>
    <row r="206" s="130" customFormat="1" ht="11.25" customHeight="1">
      <c r="A206" s="684"/>
      <c r="B206" s="57"/>
      <c r="C206" s="57"/>
      <c r="D206" s="130"/>
      <c r="K206" s="53"/>
      <c r="L206" s="57"/>
      <c r="M206" s="57"/>
      <c r="N206" s="53"/>
      <c r="O206" s="53"/>
      <c r="P206" s="53"/>
      <c r="Q206" s="53"/>
      <c r="R206" s="57"/>
      <c r="S206" s="53"/>
      <c r="T206" s="53"/>
      <c r="U206" s="685"/>
      <c r="V206" s="53"/>
      <c r="W206" s="53"/>
      <c r="X206" s="53"/>
      <c r="Y206" s="53"/>
      <c r="Z206" s="53"/>
      <c r="AA206" s="56"/>
      <c r="AB206" s="54"/>
      <c r="AC206" s="54"/>
      <c r="AD206" s="54"/>
      <c r="AE206" s="54"/>
    </row>
    <row r="207" s="130" customFormat="1" ht="11.25" customHeight="1">
      <c r="A207" s="684"/>
      <c r="B207" s="57"/>
      <c r="C207" s="57"/>
      <c r="D207" s="130"/>
      <c r="K207" s="53"/>
      <c r="L207" s="57"/>
      <c r="M207" s="57"/>
      <c r="N207" s="53"/>
      <c r="O207" s="53"/>
      <c r="P207" s="53"/>
      <c r="Q207" s="53"/>
      <c r="R207" s="57"/>
      <c r="S207" s="53"/>
      <c r="T207" s="53"/>
      <c r="U207" s="685"/>
      <c r="V207" s="53"/>
      <c r="W207" s="53"/>
      <c r="X207" s="53"/>
      <c r="Y207" s="53"/>
      <c r="Z207" s="53"/>
      <c r="AA207" s="56"/>
      <c r="AB207" s="54"/>
      <c r="AC207" s="54"/>
      <c r="AD207" s="54"/>
      <c r="AE207" s="54"/>
    </row>
    <row r="208" s="130" customFormat="1" ht="11.25" customHeight="1">
      <c r="A208" s="684"/>
      <c r="B208" s="57"/>
      <c r="C208" s="57"/>
      <c r="D208" s="130"/>
      <c r="K208" s="53"/>
      <c r="L208" s="57"/>
      <c r="M208" s="57"/>
      <c r="N208" s="53"/>
      <c r="O208" s="53"/>
      <c r="P208" s="53"/>
      <c r="Q208" s="53"/>
      <c r="R208" s="57"/>
      <c r="S208" s="53"/>
      <c r="T208" s="53"/>
      <c r="U208" s="685"/>
      <c r="V208" s="53"/>
      <c r="W208" s="53"/>
      <c r="X208" s="53"/>
      <c r="Y208" s="53"/>
      <c r="Z208" s="53"/>
      <c r="AA208" s="56"/>
      <c r="AB208" s="54"/>
      <c r="AC208" s="54"/>
      <c r="AD208" s="54"/>
      <c r="AE208" s="54"/>
    </row>
    <row r="209" s="130" customFormat="1" ht="11.25" customHeight="1">
      <c r="A209" s="684"/>
      <c r="B209" s="57"/>
      <c r="C209" s="57"/>
      <c r="D209" s="130"/>
      <c r="K209" s="53"/>
      <c r="L209" s="57"/>
      <c r="M209" s="57"/>
      <c r="N209" s="53"/>
      <c r="O209" s="53"/>
      <c r="P209" s="53"/>
      <c r="Q209" s="53"/>
      <c r="R209" s="57"/>
      <c r="S209" s="53"/>
      <c r="T209" s="53"/>
      <c r="U209" s="685"/>
      <c r="V209" s="53"/>
      <c r="W209" s="53"/>
      <c r="X209" s="53"/>
      <c r="Y209" s="53"/>
      <c r="Z209" s="53"/>
      <c r="AA209" s="56"/>
      <c r="AB209" s="54"/>
      <c r="AC209" s="54"/>
      <c r="AD209" s="54"/>
      <c r="AE209" s="54"/>
    </row>
    <row r="210" s="130" customFormat="1" ht="11.25" customHeight="1">
      <c r="A210" s="684"/>
      <c r="B210" s="57"/>
      <c r="C210" s="57"/>
      <c r="D210" s="130"/>
      <c r="K210" s="53"/>
      <c r="L210" s="57"/>
      <c r="M210" s="57"/>
      <c r="N210" s="53"/>
      <c r="O210" s="53"/>
      <c r="P210" s="53"/>
      <c r="Q210" s="53"/>
      <c r="R210" s="57"/>
      <c r="S210" s="53"/>
      <c r="T210" s="53"/>
      <c r="U210" s="685"/>
      <c r="V210" s="53"/>
      <c r="W210" s="53"/>
      <c r="X210" s="53"/>
      <c r="Y210" s="53"/>
      <c r="Z210" s="53"/>
      <c r="AA210" s="56"/>
      <c r="AB210" s="54"/>
      <c r="AC210" s="54"/>
      <c r="AD210" s="54"/>
      <c r="AE210" s="54"/>
    </row>
    <row r="211" s="130" customFormat="1" ht="11.25" customHeight="1">
      <c r="A211" s="684"/>
      <c r="B211" s="57"/>
      <c r="C211" s="57"/>
      <c r="D211" s="130"/>
      <c r="K211" s="53"/>
      <c r="L211" s="57"/>
      <c r="M211" s="57"/>
      <c r="N211" s="53"/>
      <c r="O211" s="53"/>
      <c r="P211" s="53"/>
      <c r="Q211" s="53"/>
      <c r="R211" s="57"/>
      <c r="S211" s="53"/>
      <c r="T211" s="53"/>
      <c r="U211" s="685"/>
      <c r="V211" s="53"/>
      <c r="W211" s="53"/>
      <c r="X211" s="53"/>
      <c r="Y211" s="53"/>
      <c r="Z211" s="53"/>
      <c r="AA211" s="56"/>
      <c r="AB211" s="54"/>
      <c r="AC211" s="54"/>
      <c r="AD211" s="54"/>
      <c r="AE211" s="54"/>
    </row>
    <row r="212" s="130" customFormat="1" ht="11.25" customHeight="1">
      <c r="A212" s="684"/>
      <c r="B212" s="57"/>
      <c r="C212" s="57"/>
      <c r="D212" s="130"/>
      <c r="K212" s="53"/>
      <c r="L212" s="57"/>
      <c r="M212" s="57"/>
      <c r="N212" s="53"/>
      <c r="O212" s="53"/>
      <c r="P212" s="53"/>
      <c r="Q212" s="53"/>
      <c r="R212" s="57"/>
      <c r="S212" s="53"/>
      <c r="T212" s="53"/>
      <c r="U212" s="685"/>
      <c r="V212" s="53"/>
      <c r="W212" s="53"/>
      <c r="X212" s="53"/>
      <c r="Y212" s="53"/>
      <c r="Z212" s="53"/>
      <c r="AA212" s="56"/>
      <c r="AB212" s="54"/>
      <c r="AC212" s="54"/>
      <c r="AD212" s="54"/>
      <c r="AE212" s="54"/>
    </row>
    <row r="213" s="130" customFormat="1" ht="11.25" customHeight="1">
      <c r="A213" s="684"/>
      <c r="B213" s="57"/>
      <c r="C213" s="57"/>
      <c r="D213" s="130"/>
      <c r="K213" s="53"/>
      <c r="L213" s="57"/>
      <c r="M213" s="57"/>
      <c r="N213" s="53"/>
      <c r="O213" s="53"/>
      <c r="P213" s="53"/>
      <c r="Q213" s="53"/>
      <c r="R213" s="57"/>
      <c r="S213" s="53"/>
      <c r="T213" s="53"/>
      <c r="U213" s="685"/>
      <c r="V213" s="53"/>
      <c r="W213" s="53"/>
      <c r="X213" s="53"/>
      <c r="Y213" s="53"/>
      <c r="Z213" s="53"/>
      <c r="AA213" s="56"/>
      <c r="AB213" s="54"/>
      <c r="AC213" s="54"/>
      <c r="AD213" s="54"/>
      <c r="AE213" s="54"/>
    </row>
    <row r="214" s="130" customFormat="1" ht="11.25" customHeight="1">
      <c r="A214" s="684"/>
      <c r="B214" s="57"/>
      <c r="C214" s="57"/>
      <c r="D214" s="130"/>
      <c r="K214" s="53"/>
      <c r="L214" s="57"/>
      <c r="M214" s="57"/>
      <c r="N214" s="53"/>
      <c r="O214" s="53"/>
      <c r="P214" s="53"/>
      <c r="Q214" s="53"/>
      <c r="R214" s="57"/>
      <c r="S214" s="53"/>
      <c r="T214" s="53"/>
      <c r="U214" s="685"/>
      <c r="V214" s="53"/>
      <c r="W214" s="53"/>
      <c r="X214" s="53"/>
      <c r="Y214" s="53"/>
      <c r="Z214" s="53"/>
      <c r="AA214" s="56"/>
      <c r="AB214" s="54"/>
      <c r="AC214" s="54"/>
      <c r="AD214" s="54"/>
      <c r="AE214" s="54"/>
    </row>
    <row r="215" s="130" customFormat="1" ht="11.25" customHeight="1">
      <c r="A215" s="684"/>
      <c r="B215" s="57"/>
      <c r="C215" s="57"/>
      <c r="D215" s="130"/>
      <c r="K215" s="53"/>
      <c r="L215" s="57"/>
      <c r="M215" s="57"/>
      <c r="N215" s="53"/>
      <c r="O215" s="53"/>
      <c r="P215" s="53"/>
      <c r="Q215" s="53"/>
      <c r="R215" s="57"/>
      <c r="S215" s="53"/>
      <c r="T215" s="53"/>
      <c r="U215" s="685"/>
      <c r="V215" s="53"/>
      <c r="W215" s="53"/>
      <c r="X215" s="53"/>
      <c r="Y215" s="53"/>
      <c r="Z215" s="53"/>
      <c r="AA215" s="56"/>
      <c r="AB215" s="54"/>
      <c r="AC215" s="54"/>
      <c r="AD215" s="54"/>
      <c r="AE215" s="54"/>
    </row>
    <row r="216" s="130" customFormat="1" ht="11.25" customHeight="1">
      <c r="A216" s="684"/>
      <c r="B216" s="57"/>
      <c r="C216" s="57"/>
      <c r="D216" s="130"/>
      <c r="K216" s="53"/>
      <c r="L216" s="57"/>
      <c r="M216" s="57"/>
      <c r="N216" s="53"/>
      <c r="O216" s="53"/>
      <c r="P216" s="53"/>
      <c r="Q216" s="53"/>
      <c r="R216" s="57"/>
      <c r="S216" s="53"/>
      <c r="T216" s="53"/>
      <c r="U216" s="685"/>
      <c r="V216" s="53"/>
      <c r="W216" s="53"/>
      <c r="X216" s="53"/>
      <c r="Y216" s="53"/>
      <c r="Z216" s="53"/>
      <c r="AA216" s="56"/>
      <c r="AB216" s="54"/>
      <c r="AC216" s="54"/>
      <c r="AD216" s="54"/>
      <c r="AE216" s="54"/>
    </row>
    <row r="217" s="130" customFormat="1" ht="11.25" customHeight="1">
      <c r="A217" s="684"/>
      <c r="B217" s="57"/>
      <c r="C217" s="57"/>
      <c r="D217" s="130"/>
      <c r="K217" s="53"/>
      <c r="L217" s="57"/>
      <c r="M217" s="57"/>
      <c r="N217" s="53"/>
      <c r="O217" s="53"/>
      <c r="P217" s="53"/>
      <c r="Q217" s="53"/>
      <c r="R217" s="57"/>
      <c r="S217" s="53"/>
      <c r="T217" s="53"/>
      <c r="U217" s="685"/>
      <c r="V217" s="53"/>
      <c r="W217" s="53"/>
      <c r="X217" s="53"/>
      <c r="Y217" s="53"/>
      <c r="Z217" s="53"/>
      <c r="AA217" s="56"/>
      <c r="AB217" s="54"/>
      <c r="AC217" s="54"/>
      <c r="AD217" s="54"/>
      <c r="AE217" s="54"/>
    </row>
    <row r="218" s="130" customFormat="1" ht="11.25" customHeight="1">
      <c r="A218" s="684"/>
      <c r="B218" s="57"/>
      <c r="C218" s="57"/>
      <c r="D218" s="130"/>
      <c r="K218" s="53"/>
      <c r="L218" s="57"/>
      <c r="M218" s="57"/>
      <c r="N218" s="53"/>
      <c r="O218" s="53"/>
      <c r="P218" s="53"/>
      <c r="Q218" s="53"/>
      <c r="R218" s="57"/>
      <c r="S218" s="53"/>
      <c r="T218" s="53"/>
      <c r="U218" s="685"/>
      <c r="V218" s="53"/>
      <c r="W218" s="53"/>
      <c r="X218" s="53"/>
      <c r="Y218" s="53"/>
      <c r="Z218" s="53"/>
      <c r="AA218" s="56"/>
      <c r="AB218" s="54"/>
      <c r="AC218" s="54"/>
      <c r="AD218" s="54"/>
      <c r="AE218" s="54"/>
    </row>
    <row r="219" s="130" customFormat="1" ht="11.25" customHeight="1">
      <c r="A219" s="684"/>
      <c r="B219" s="57"/>
      <c r="C219" s="57"/>
      <c r="D219" s="130"/>
      <c r="K219" s="53"/>
      <c r="L219" s="57"/>
      <c r="M219" s="57"/>
      <c r="N219" s="53"/>
      <c r="O219" s="53"/>
      <c r="P219" s="53"/>
      <c r="Q219" s="53"/>
      <c r="R219" s="57"/>
      <c r="S219" s="53"/>
      <c r="T219" s="53"/>
      <c r="U219" s="685"/>
      <c r="V219" s="53"/>
      <c r="W219" s="53"/>
      <c r="X219" s="53"/>
      <c r="Y219" s="53"/>
      <c r="Z219" s="53"/>
      <c r="AA219" s="56"/>
      <c r="AB219" s="54"/>
      <c r="AC219" s="54"/>
      <c r="AD219" s="54"/>
      <c r="AE219" s="54"/>
    </row>
    <row r="220" s="130" customFormat="1" ht="11.25" customHeight="1">
      <c r="A220" s="684"/>
      <c r="B220" s="57"/>
      <c r="C220" s="57"/>
      <c r="D220" s="130"/>
      <c r="K220" s="53"/>
      <c r="L220" s="57"/>
      <c r="M220" s="57"/>
      <c r="N220" s="53"/>
      <c r="O220" s="53"/>
      <c r="P220" s="53"/>
      <c r="Q220" s="53"/>
      <c r="R220" s="57"/>
      <c r="S220" s="53"/>
      <c r="T220" s="53"/>
      <c r="U220" s="685"/>
      <c r="V220" s="53"/>
      <c r="W220" s="53"/>
      <c r="X220" s="53"/>
      <c r="Y220" s="53"/>
      <c r="Z220" s="53"/>
      <c r="AA220" s="56"/>
      <c r="AB220" s="54"/>
      <c r="AC220" s="54"/>
      <c r="AD220" s="54"/>
      <c r="AE220" s="54"/>
    </row>
    <row r="221" s="130" customFormat="1" ht="11.25" customHeight="1">
      <c r="A221" s="684"/>
      <c r="B221" s="57"/>
      <c r="C221" s="57"/>
      <c r="D221" s="130"/>
      <c r="K221" s="53"/>
      <c r="L221" s="57"/>
      <c r="M221" s="57"/>
      <c r="N221" s="53"/>
      <c r="O221" s="53"/>
      <c r="P221" s="53"/>
      <c r="Q221" s="53"/>
      <c r="R221" s="57"/>
      <c r="S221" s="53"/>
      <c r="T221" s="53"/>
      <c r="U221" s="685"/>
      <c r="V221" s="53"/>
      <c r="W221" s="53"/>
      <c r="X221" s="53"/>
      <c r="Y221" s="53"/>
      <c r="Z221" s="53"/>
      <c r="AA221" s="56"/>
      <c r="AB221" s="54"/>
      <c r="AC221" s="54"/>
      <c r="AD221" s="54"/>
      <c r="AE221" s="54"/>
    </row>
    <row r="222" s="130" customFormat="1" ht="11.25" customHeight="1">
      <c r="A222" s="684"/>
      <c r="B222" s="57"/>
      <c r="C222" s="57"/>
      <c r="D222" s="130"/>
      <c r="K222" s="53"/>
      <c r="L222" s="57"/>
      <c r="M222" s="57"/>
      <c r="N222" s="53"/>
      <c r="O222" s="53"/>
      <c r="P222" s="53"/>
      <c r="Q222" s="53"/>
      <c r="R222" s="57"/>
      <c r="S222" s="53"/>
      <c r="T222" s="53"/>
      <c r="U222" s="685"/>
      <c r="V222" s="53"/>
      <c r="W222" s="53"/>
      <c r="X222" s="53"/>
      <c r="Y222" s="53"/>
      <c r="Z222" s="53"/>
      <c r="AA222" s="56"/>
      <c r="AB222" s="54"/>
      <c r="AC222" s="54"/>
      <c r="AD222" s="54"/>
      <c r="AE222" s="54"/>
    </row>
    <row r="223" s="130" customFormat="1" ht="11.25" customHeight="1">
      <c r="A223" s="684"/>
      <c r="B223" s="57"/>
      <c r="C223" s="57"/>
      <c r="D223" s="130"/>
      <c r="K223" s="53"/>
      <c r="L223" s="57"/>
      <c r="M223" s="57"/>
      <c r="N223" s="53"/>
      <c r="O223" s="53"/>
      <c r="P223" s="53"/>
      <c r="Q223" s="53"/>
      <c r="R223" s="57"/>
      <c r="S223" s="53"/>
      <c r="T223" s="53"/>
      <c r="U223" s="685"/>
      <c r="V223" s="53"/>
      <c r="W223" s="53"/>
      <c r="X223" s="53"/>
      <c r="Y223" s="53"/>
      <c r="Z223" s="53"/>
      <c r="AA223" s="56"/>
      <c r="AB223" s="54"/>
      <c r="AC223" s="54"/>
      <c r="AD223" s="54"/>
      <c r="AE223" s="54"/>
    </row>
    <row r="224" s="130" customFormat="1" ht="11.25" customHeight="1">
      <c r="A224" s="684"/>
      <c r="B224" s="57"/>
      <c r="C224" s="57"/>
      <c r="D224" s="130"/>
      <c r="K224" s="53"/>
      <c r="L224" s="57"/>
      <c r="M224" s="57"/>
      <c r="N224" s="53"/>
      <c r="O224" s="53"/>
      <c r="P224" s="53"/>
      <c r="Q224" s="53"/>
      <c r="R224" s="57"/>
      <c r="S224" s="53"/>
      <c r="T224" s="53"/>
      <c r="U224" s="685"/>
      <c r="V224" s="53"/>
      <c r="W224" s="53"/>
      <c r="X224" s="53"/>
      <c r="Y224" s="53"/>
      <c r="Z224" s="53"/>
      <c r="AA224" s="56"/>
      <c r="AB224" s="54"/>
      <c r="AC224" s="54"/>
      <c r="AD224" s="54"/>
      <c r="AE224" s="54"/>
    </row>
    <row r="225" s="130" customFormat="1" ht="11.25" customHeight="1">
      <c r="A225" s="684"/>
      <c r="B225" s="57"/>
      <c r="C225" s="57"/>
      <c r="D225" s="130"/>
      <c r="K225" s="53"/>
      <c r="L225" s="57"/>
      <c r="M225" s="57"/>
      <c r="N225" s="53"/>
      <c r="O225" s="53"/>
      <c r="P225" s="53"/>
      <c r="Q225" s="53"/>
      <c r="R225" s="57"/>
      <c r="S225" s="53"/>
      <c r="T225" s="53"/>
      <c r="U225" s="685"/>
      <c r="V225" s="53"/>
      <c r="W225" s="53"/>
      <c r="X225" s="53"/>
      <c r="Y225" s="53"/>
      <c r="Z225" s="53"/>
      <c r="AA225" s="56"/>
      <c r="AB225" s="54"/>
      <c r="AC225" s="54"/>
      <c r="AD225" s="54"/>
      <c r="AE225" s="54"/>
    </row>
    <row r="226" s="130" customFormat="1" ht="11.25" customHeight="1">
      <c r="A226" s="684"/>
      <c r="B226" s="57"/>
      <c r="C226" s="57"/>
      <c r="D226" s="130"/>
      <c r="K226" s="53"/>
      <c r="L226" s="57"/>
      <c r="M226" s="57"/>
      <c r="N226" s="53"/>
      <c r="O226" s="53"/>
      <c r="P226" s="53"/>
      <c r="Q226" s="53"/>
      <c r="R226" s="57"/>
      <c r="S226" s="53"/>
      <c r="T226" s="53"/>
      <c r="U226" s="685"/>
      <c r="V226" s="53"/>
      <c r="W226" s="53"/>
      <c r="X226" s="53"/>
      <c r="Y226" s="53"/>
      <c r="Z226" s="53"/>
      <c r="AA226" s="56"/>
      <c r="AB226" s="54"/>
      <c r="AC226" s="54"/>
      <c r="AD226" s="54"/>
      <c r="AE226" s="54"/>
    </row>
    <row r="227" s="130" customFormat="1" ht="11.25" customHeight="1">
      <c r="A227" s="684"/>
      <c r="B227" s="57"/>
      <c r="C227" s="57"/>
      <c r="D227" s="130"/>
      <c r="K227" s="53"/>
      <c r="L227" s="57"/>
      <c r="M227" s="57"/>
      <c r="N227" s="53"/>
      <c r="O227" s="53"/>
      <c r="P227" s="53"/>
      <c r="Q227" s="53"/>
      <c r="R227" s="57"/>
      <c r="S227" s="53"/>
      <c r="T227" s="53"/>
      <c r="U227" s="685"/>
      <c r="V227" s="53"/>
      <c r="W227" s="53"/>
      <c r="X227" s="53"/>
      <c r="Y227" s="53"/>
      <c r="Z227" s="53"/>
      <c r="AA227" s="56"/>
      <c r="AB227" s="54"/>
      <c r="AC227" s="54"/>
      <c r="AD227" s="54"/>
      <c r="AE227" s="54"/>
    </row>
    <row r="228" s="130" customFormat="1" ht="11.25" customHeight="1">
      <c r="A228" s="684"/>
      <c r="B228" s="57"/>
      <c r="C228" s="57"/>
      <c r="D228" s="130"/>
      <c r="K228" s="53"/>
      <c r="L228" s="57"/>
      <c r="M228" s="57"/>
      <c r="N228" s="53"/>
      <c r="O228" s="53"/>
      <c r="P228" s="53"/>
      <c r="Q228" s="53"/>
      <c r="R228" s="57"/>
      <c r="S228" s="53"/>
      <c r="T228" s="53"/>
      <c r="U228" s="685"/>
      <c r="V228" s="53"/>
      <c r="W228" s="53"/>
      <c r="X228" s="53"/>
      <c r="Y228" s="53"/>
      <c r="Z228" s="53"/>
      <c r="AA228" s="56"/>
      <c r="AB228" s="54"/>
      <c r="AC228" s="54"/>
      <c r="AD228" s="54"/>
      <c r="AE228" s="54"/>
    </row>
    <row r="229" s="130" customFormat="1" ht="11.25" customHeight="1">
      <c r="A229" s="684"/>
      <c r="B229" s="57"/>
      <c r="C229" s="57"/>
      <c r="D229" s="130"/>
      <c r="K229" s="53"/>
      <c r="L229" s="57"/>
      <c r="M229" s="57"/>
      <c r="N229" s="53"/>
      <c r="O229" s="53"/>
      <c r="P229" s="53"/>
      <c r="Q229" s="53"/>
      <c r="R229" s="57"/>
      <c r="S229" s="53"/>
      <c r="T229" s="53"/>
      <c r="U229" s="685"/>
      <c r="V229" s="53"/>
      <c r="W229" s="53"/>
      <c r="X229" s="53"/>
      <c r="Y229" s="53"/>
      <c r="Z229" s="53"/>
      <c r="AA229" s="56"/>
      <c r="AB229" s="54"/>
      <c r="AC229" s="54"/>
      <c r="AD229" s="54"/>
      <c r="AE229" s="54"/>
    </row>
    <row r="230" s="130" customFormat="1" ht="11.25" customHeight="1">
      <c r="A230" s="684"/>
      <c r="B230" s="57"/>
      <c r="C230" s="57"/>
      <c r="D230" s="130"/>
      <c r="K230" s="53"/>
      <c r="L230" s="57"/>
      <c r="M230" s="57"/>
      <c r="N230" s="53"/>
      <c r="O230" s="53"/>
      <c r="P230" s="53"/>
      <c r="Q230" s="53"/>
      <c r="R230" s="57"/>
      <c r="S230" s="53"/>
      <c r="T230" s="53"/>
      <c r="U230" s="685"/>
      <c r="V230" s="53"/>
      <c r="W230" s="53"/>
      <c r="X230" s="53"/>
      <c r="Y230" s="53"/>
      <c r="Z230" s="53"/>
      <c r="AA230" s="56"/>
      <c r="AB230" s="54"/>
      <c r="AC230" s="54"/>
      <c r="AD230" s="54"/>
      <c r="AE230" s="54"/>
    </row>
    <row r="231" s="130" customFormat="1" ht="11.25" customHeight="1">
      <c r="A231" s="684"/>
      <c r="B231" s="57"/>
      <c r="C231" s="57"/>
      <c r="D231" s="130"/>
      <c r="K231" s="53"/>
      <c r="L231" s="57"/>
      <c r="M231" s="57"/>
      <c r="N231" s="53"/>
      <c r="O231" s="53"/>
      <c r="P231" s="53"/>
      <c r="Q231" s="53"/>
      <c r="R231" s="57"/>
      <c r="S231" s="53"/>
      <c r="T231" s="53"/>
      <c r="U231" s="685"/>
      <c r="V231" s="53"/>
      <c r="W231" s="53"/>
      <c r="X231" s="53"/>
      <c r="Y231" s="53"/>
      <c r="Z231" s="53"/>
      <c r="AA231" s="56"/>
      <c r="AB231" s="54"/>
      <c r="AC231" s="54"/>
      <c r="AD231" s="54"/>
      <c r="AE231" s="54"/>
    </row>
    <row r="232" s="130" customFormat="1" ht="11.25" customHeight="1">
      <c r="A232" s="684"/>
      <c r="B232" s="57"/>
      <c r="C232" s="57"/>
      <c r="D232" s="130"/>
      <c r="K232" s="53"/>
      <c r="L232" s="57"/>
      <c r="M232" s="57"/>
      <c r="N232" s="53"/>
      <c r="O232" s="53"/>
      <c r="P232" s="53"/>
      <c r="Q232" s="53"/>
      <c r="R232" s="57"/>
      <c r="S232" s="53"/>
      <c r="T232" s="53"/>
      <c r="U232" s="685"/>
      <c r="V232" s="53"/>
      <c r="W232" s="53"/>
      <c r="X232" s="53"/>
      <c r="Y232" s="53"/>
      <c r="Z232" s="53"/>
      <c r="AA232" s="56"/>
      <c r="AB232" s="54"/>
      <c r="AC232" s="54"/>
      <c r="AD232" s="54"/>
      <c r="AE232" s="54"/>
    </row>
    <row r="233" s="130" customFormat="1" ht="11.25" customHeight="1">
      <c r="A233" s="684"/>
      <c r="B233" s="57"/>
      <c r="C233" s="57"/>
      <c r="D233" s="130"/>
      <c r="K233" s="53"/>
      <c r="L233" s="57"/>
      <c r="M233" s="57"/>
      <c r="N233" s="53"/>
      <c r="O233" s="53"/>
      <c r="P233" s="53"/>
      <c r="Q233" s="53"/>
      <c r="R233" s="57"/>
      <c r="S233" s="53"/>
      <c r="T233" s="53"/>
      <c r="U233" s="685"/>
      <c r="V233" s="53"/>
      <c r="W233" s="53"/>
      <c r="X233" s="53"/>
      <c r="Y233" s="53"/>
      <c r="Z233" s="53"/>
      <c r="AA233" s="56"/>
      <c r="AB233" s="54"/>
      <c r="AC233" s="54"/>
      <c r="AD233" s="54"/>
      <c r="AE233" s="54"/>
    </row>
    <row r="234" s="130" customFormat="1" ht="11.25" customHeight="1">
      <c r="A234" s="684"/>
      <c r="B234" s="57"/>
      <c r="C234" s="57"/>
      <c r="D234" s="130"/>
      <c r="K234" s="53"/>
      <c r="L234" s="57"/>
      <c r="M234" s="57"/>
      <c r="N234" s="53"/>
      <c r="O234" s="53"/>
      <c r="P234" s="53"/>
      <c r="Q234" s="53"/>
      <c r="R234" s="57"/>
      <c r="S234" s="53"/>
      <c r="T234" s="53"/>
      <c r="U234" s="685"/>
      <c r="V234" s="53"/>
      <c r="W234" s="53"/>
      <c r="X234" s="53"/>
      <c r="Y234" s="53"/>
      <c r="Z234" s="53"/>
      <c r="AA234" s="56"/>
      <c r="AB234" s="54"/>
      <c r="AC234" s="54"/>
      <c r="AD234" s="54"/>
      <c r="AE234" s="54"/>
    </row>
    <row r="235" s="130" customFormat="1" ht="11.25" customHeight="1">
      <c r="A235" s="684"/>
      <c r="B235" s="57"/>
      <c r="C235" s="57"/>
      <c r="D235" s="130"/>
      <c r="K235" s="53"/>
      <c r="L235" s="57"/>
      <c r="M235" s="57"/>
      <c r="N235" s="53"/>
      <c r="O235" s="53"/>
      <c r="P235" s="53"/>
      <c r="Q235" s="53"/>
      <c r="R235" s="57"/>
      <c r="S235" s="53"/>
      <c r="T235" s="53"/>
      <c r="U235" s="685"/>
      <c r="V235" s="53"/>
      <c r="W235" s="53"/>
      <c r="X235" s="53"/>
      <c r="Y235" s="53"/>
      <c r="Z235" s="53"/>
      <c r="AA235" s="56"/>
      <c r="AB235" s="54"/>
      <c r="AC235" s="54"/>
      <c r="AD235" s="54"/>
      <c r="AE235" s="54"/>
    </row>
    <row r="236" s="130" customFormat="1" ht="11.25" customHeight="1">
      <c r="A236" s="684"/>
      <c r="B236" s="57"/>
      <c r="C236" s="57"/>
      <c r="D236" s="130"/>
      <c r="K236" s="53"/>
      <c r="L236" s="57"/>
      <c r="M236" s="57"/>
      <c r="N236" s="53"/>
      <c r="O236" s="53"/>
      <c r="P236" s="53"/>
      <c r="Q236" s="53"/>
      <c r="R236" s="57"/>
      <c r="S236" s="53"/>
      <c r="T236" s="53"/>
      <c r="U236" s="685"/>
      <c r="V236" s="53"/>
      <c r="W236" s="53"/>
      <c r="X236" s="53"/>
      <c r="Y236" s="53"/>
      <c r="Z236" s="53"/>
      <c r="AA236" s="56"/>
      <c r="AB236" s="54"/>
      <c r="AC236" s="54"/>
      <c r="AD236" s="54"/>
      <c r="AE236" s="54"/>
    </row>
    <row r="237" s="130" customFormat="1" ht="11.25" customHeight="1">
      <c r="A237" s="684"/>
      <c r="B237" s="57"/>
      <c r="C237" s="57"/>
      <c r="D237" s="130"/>
      <c r="K237" s="53"/>
      <c r="L237" s="57"/>
      <c r="M237" s="57"/>
      <c r="N237" s="53"/>
      <c r="O237" s="53"/>
      <c r="P237" s="53"/>
      <c r="Q237" s="53"/>
      <c r="R237" s="57"/>
      <c r="S237" s="53"/>
      <c r="T237" s="53"/>
      <c r="U237" s="685"/>
      <c r="V237" s="53"/>
      <c r="W237" s="53"/>
      <c r="X237" s="53"/>
      <c r="Y237" s="53"/>
      <c r="Z237" s="53"/>
      <c r="AA237" s="56"/>
      <c r="AB237" s="54"/>
      <c r="AC237" s="54"/>
      <c r="AD237" s="54"/>
      <c r="AE237" s="54"/>
    </row>
    <row r="238" s="130" customFormat="1" ht="11.25" customHeight="1">
      <c r="A238" s="684"/>
      <c r="B238" s="57"/>
      <c r="C238" s="57"/>
      <c r="D238" s="130"/>
      <c r="K238" s="53"/>
      <c r="L238" s="57"/>
      <c r="M238" s="57"/>
      <c r="N238" s="53"/>
      <c r="O238" s="53"/>
      <c r="P238" s="53"/>
      <c r="Q238" s="53"/>
      <c r="R238" s="57"/>
      <c r="S238" s="53"/>
      <c r="T238" s="53"/>
      <c r="U238" s="685"/>
      <c r="V238" s="53"/>
      <c r="W238" s="53"/>
      <c r="X238" s="53"/>
      <c r="Y238" s="53"/>
      <c r="Z238" s="53"/>
      <c r="AA238" s="56"/>
      <c r="AB238" s="54"/>
      <c r="AC238" s="54"/>
      <c r="AD238" s="54"/>
      <c r="AE238" s="54"/>
    </row>
    <row r="239" s="130" customFormat="1" ht="11.25" customHeight="1">
      <c r="A239" s="684"/>
      <c r="B239" s="57"/>
      <c r="C239" s="57"/>
      <c r="D239" s="130"/>
      <c r="K239" s="53"/>
      <c r="L239" s="57"/>
      <c r="M239" s="57"/>
      <c r="N239" s="53"/>
      <c r="O239" s="53"/>
      <c r="P239" s="53"/>
      <c r="Q239" s="53"/>
      <c r="R239" s="57"/>
      <c r="S239" s="53"/>
      <c r="T239" s="53"/>
      <c r="U239" s="685"/>
      <c r="V239" s="53"/>
      <c r="W239" s="53"/>
      <c r="X239" s="53"/>
      <c r="Y239" s="53"/>
      <c r="Z239" s="53"/>
      <c r="AA239" s="56"/>
      <c r="AB239" s="54"/>
      <c r="AC239" s="54"/>
      <c r="AD239" s="54"/>
      <c r="AE239" s="54"/>
    </row>
    <row r="240" s="130" customFormat="1" ht="11.25" customHeight="1">
      <c r="A240" s="684"/>
      <c r="B240" s="57"/>
      <c r="C240" s="57"/>
      <c r="D240" s="130"/>
      <c r="K240" s="53"/>
      <c r="L240" s="57"/>
      <c r="M240" s="57"/>
      <c r="N240" s="53"/>
      <c r="O240" s="53"/>
      <c r="P240" s="53"/>
      <c r="Q240" s="53"/>
      <c r="R240" s="57"/>
      <c r="S240" s="53"/>
      <c r="T240" s="53"/>
      <c r="U240" s="685"/>
      <c r="V240" s="53"/>
      <c r="W240" s="53"/>
      <c r="X240" s="53"/>
      <c r="Y240" s="53"/>
      <c r="Z240" s="53"/>
      <c r="AA240" s="56"/>
      <c r="AB240" s="54"/>
      <c r="AC240" s="54"/>
      <c r="AD240" s="54"/>
      <c r="AE240" s="54"/>
    </row>
    <row r="241" s="130" customFormat="1" ht="11.25" customHeight="1">
      <c r="A241" s="684"/>
      <c r="B241" s="57"/>
      <c r="C241" s="57"/>
      <c r="D241" s="130"/>
      <c r="K241" s="53"/>
      <c r="L241" s="57"/>
      <c r="M241" s="57"/>
      <c r="N241" s="53"/>
      <c r="O241" s="53"/>
      <c r="P241" s="53"/>
      <c r="Q241" s="53"/>
      <c r="R241" s="57"/>
      <c r="S241" s="53"/>
      <c r="T241" s="53"/>
      <c r="U241" s="685"/>
      <c r="V241" s="53"/>
      <c r="W241" s="53"/>
      <c r="X241" s="53"/>
      <c r="Y241" s="53"/>
      <c r="Z241" s="53"/>
      <c r="AA241" s="56"/>
      <c r="AB241" s="54"/>
      <c r="AC241" s="54"/>
      <c r="AD241" s="54"/>
      <c r="AE241" s="54"/>
    </row>
    <row r="242" s="130" customFormat="1" ht="11.25" customHeight="1">
      <c r="A242" s="684"/>
      <c r="B242" s="57"/>
      <c r="C242" s="57"/>
      <c r="D242" s="130"/>
      <c r="K242" s="53"/>
      <c r="L242" s="57"/>
      <c r="M242" s="57"/>
      <c r="N242" s="53"/>
      <c r="O242" s="53"/>
      <c r="P242" s="53"/>
      <c r="Q242" s="53"/>
      <c r="R242" s="57"/>
      <c r="S242" s="53"/>
      <c r="T242" s="53"/>
      <c r="U242" s="685"/>
      <c r="V242" s="53"/>
      <c r="W242" s="53"/>
      <c r="X242" s="53"/>
      <c r="Y242" s="53"/>
      <c r="Z242" s="53"/>
      <c r="AA242" s="56"/>
      <c r="AB242" s="54"/>
      <c r="AC242" s="54"/>
      <c r="AD242" s="54"/>
      <c r="AE242" s="54"/>
    </row>
    <row r="243" s="130" customFormat="1" ht="11.25" customHeight="1">
      <c r="A243" s="684"/>
      <c r="B243" s="57"/>
      <c r="C243" s="57"/>
      <c r="D243" s="130"/>
      <c r="K243" s="53"/>
      <c r="L243" s="57"/>
      <c r="M243" s="57"/>
      <c r="N243" s="53"/>
      <c r="O243" s="53"/>
      <c r="P243" s="53"/>
      <c r="Q243" s="53"/>
      <c r="R243" s="57"/>
      <c r="S243" s="53"/>
      <c r="T243" s="53"/>
      <c r="U243" s="685"/>
      <c r="V243" s="53"/>
      <c r="W243" s="53"/>
      <c r="X243" s="53"/>
      <c r="Y243" s="53"/>
      <c r="Z243" s="53"/>
      <c r="AA243" s="56"/>
      <c r="AB243" s="54"/>
      <c r="AC243" s="54"/>
      <c r="AD243" s="54"/>
      <c r="AE243" s="54"/>
    </row>
    <row r="244" s="130" customFormat="1" ht="11.25" customHeight="1">
      <c r="A244" s="684"/>
      <c r="B244" s="57"/>
      <c r="C244" s="57"/>
      <c r="D244" s="130"/>
      <c r="K244" s="53"/>
      <c r="L244" s="57"/>
      <c r="M244" s="57"/>
      <c r="N244" s="53"/>
      <c r="O244" s="53"/>
      <c r="P244" s="53"/>
      <c r="Q244" s="53"/>
      <c r="R244" s="57"/>
      <c r="S244" s="53"/>
      <c r="T244" s="53"/>
      <c r="U244" s="685"/>
      <c r="V244" s="53"/>
      <c r="W244" s="53"/>
      <c r="X244" s="53"/>
      <c r="Y244" s="53"/>
      <c r="Z244" s="53"/>
      <c r="AA244" s="56"/>
      <c r="AB244" s="54"/>
      <c r="AC244" s="54"/>
      <c r="AD244" s="54"/>
      <c r="AE244" s="54"/>
    </row>
    <row r="245" s="130" customFormat="1" ht="11.25" customHeight="1">
      <c r="A245" s="684"/>
      <c r="B245" s="57"/>
      <c r="C245" s="57"/>
      <c r="D245" s="130"/>
      <c r="K245" s="53"/>
      <c r="L245" s="57"/>
      <c r="M245" s="57"/>
      <c r="N245" s="53"/>
      <c r="O245" s="53"/>
      <c r="P245" s="53"/>
      <c r="Q245" s="53"/>
      <c r="R245" s="57"/>
      <c r="S245" s="53"/>
      <c r="T245" s="53"/>
      <c r="U245" s="685"/>
      <c r="V245" s="53"/>
      <c r="W245" s="53"/>
      <c r="X245" s="53"/>
      <c r="Y245" s="53"/>
      <c r="Z245" s="53"/>
      <c r="AA245" s="56"/>
      <c r="AB245" s="54"/>
      <c r="AC245" s="54"/>
      <c r="AD245" s="54"/>
      <c r="AE245" s="54"/>
    </row>
    <row r="246" s="130" customFormat="1" ht="11.25" customHeight="1">
      <c r="A246" s="684"/>
      <c r="B246" s="57"/>
      <c r="C246" s="57"/>
      <c r="D246" s="130"/>
      <c r="K246" s="53"/>
      <c r="L246" s="57"/>
      <c r="M246" s="57"/>
      <c r="N246" s="53"/>
      <c r="O246" s="53"/>
      <c r="P246" s="53"/>
      <c r="Q246" s="53"/>
      <c r="R246" s="57"/>
      <c r="S246" s="53"/>
      <c r="T246" s="53"/>
      <c r="U246" s="685"/>
      <c r="V246" s="53"/>
      <c r="W246" s="53"/>
      <c r="X246" s="53"/>
      <c r="Y246" s="53"/>
      <c r="Z246" s="53"/>
      <c r="AA246" s="56"/>
      <c r="AB246" s="54"/>
      <c r="AC246" s="54"/>
      <c r="AD246" s="54"/>
      <c r="AE246" s="54"/>
    </row>
    <row r="247" s="130" customFormat="1" ht="11.25" customHeight="1">
      <c r="A247" s="684"/>
      <c r="B247" s="57"/>
      <c r="C247" s="57"/>
      <c r="D247" s="130"/>
      <c r="K247" s="53"/>
      <c r="L247" s="57"/>
      <c r="M247" s="57"/>
      <c r="N247" s="53"/>
      <c r="O247" s="53"/>
      <c r="P247" s="53"/>
      <c r="Q247" s="53"/>
      <c r="R247" s="57"/>
      <c r="S247" s="53"/>
      <c r="T247" s="53"/>
      <c r="U247" s="685"/>
      <c r="V247" s="53"/>
      <c r="W247" s="53"/>
      <c r="X247" s="53"/>
      <c r="Y247" s="53"/>
      <c r="Z247" s="53"/>
      <c r="AA247" s="56"/>
      <c r="AB247" s="54"/>
      <c r="AC247" s="54"/>
      <c r="AD247" s="54"/>
      <c r="AE247" s="54"/>
    </row>
    <row r="248" s="130" customFormat="1" ht="11.25" customHeight="1">
      <c r="A248" s="684"/>
      <c r="B248" s="57"/>
      <c r="C248" s="57"/>
      <c r="D248" s="130"/>
      <c r="K248" s="53"/>
      <c r="L248" s="57"/>
      <c r="M248" s="57"/>
      <c r="N248" s="53"/>
      <c r="O248" s="53"/>
      <c r="P248" s="53"/>
      <c r="Q248" s="53"/>
      <c r="R248" s="57"/>
      <c r="S248" s="53"/>
      <c r="T248" s="53"/>
      <c r="U248" s="685"/>
      <c r="V248" s="53"/>
      <c r="W248" s="53"/>
      <c r="X248" s="53"/>
      <c r="Y248" s="53"/>
      <c r="Z248" s="53"/>
      <c r="AA248" s="56"/>
      <c r="AB248" s="54"/>
      <c r="AC248" s="54"/>
      <c r="AD248" s="54"/>
      <c r="AE248" s="54"/>
    </row>
    <row r="249" s="130" customFormat="1" ht="11.25" customHeight="1">
      <c r="A249" s="684"/>
      <c r="B249" s="57"/>
      <c r="C249" s="57"/>
      <c r="D249" s="130"/>
      <c r="K249" s="53"/>
      <c r="L249" s="57"/>
      <c r="M249" s="57"/>
      <c r="N249" s="53"/>
      <c r="O249" s="53"/>
      <c r="P249" s="53"/>
      <c r="Q249" s="53"/>
      <c r="R249" s="57"/>
      <c r="S249" s="53"/>
      <c r="T249" s="53"/>
      <c r="U249" s="685"/>
      <c r="V249" s="53"/>
      <c r="W249" s="53"/>
      <c r="X249" s="53"/>
      <c r="Y249" s="53"/>
      <c r="Z249" s="53"/>
      <c r="AA249" s="56"/>
      <c r="AB249" s="54"/>
      <c r="AC249" s="54"/>
      <c r="AD249" s="54"/>
      <c r="AE249" s="54"/>
    </row>
    <row r="250" s="130" customFormat="1" ht="11.25" customHeight="1">
      <c r="A250" s="684"/>
      <c r="B250" s="57"/>
      <c r="C250" s="57"/>
      <c r="D250" s="130"/>
      <c r="K250" s="53"/>
      <c r="L250" s="57"/>
      <c r="M250" s="57"/>
      <c r="N250" s="53"/>
      <c r="O250" s="53"/>
      <c r="P250" s="53"/>
      <c r="Q250" s="53"/>
      <c r="R250" s="57"/>
      <c r="S250" s="53"/>
      <c r="T250" s="53"/>
      <c r="U250" s="685"/>
      <c r="V250" s="53"/>
      <c r="W250" s="53"/>
      <c r="X250" s="53"/>
      <c r="Y250" s="53"/>
      <c r="Z250" s="53"/>
      <c r="AA250" s="56"/>
      <c r="AB250" s="54"/>
      <c r="AC250" s="54"/>
      <c r="AD250" s="54"/>
      <c r="AE250" s="54"/>
    </row>
    <row r="251" s="130" customFormat="1" ht="11.25" customHeight="1">
      <c r="A251" s="684"/>
      <c r="B251" s="57"/>
      <c r="C251" s="57"/>
      <c r="D251" s="130"/>
      <c r="K251" s="53"/>
      <c r="L251" s="57"/>
      <c r="M251" s="57"/>
      <c r="N251" s="53"/>
      <c r="O251" s="53"/>
      <c r="P251" s="53"/>
      <c r="Q251" s="53"/>
      <c r="R251" s="57"/>
      <c r="S251" s="53"/>
      <c r="T251" s="53"/>
      <c r="U251" s="685"/>
      <c r="V251" s="53"/>
      <c r="W251" s="53"/>
      <c r="X251" s="53"/>
      <c r="Y251" s="53"/>
      <c r="Z251" s="53"/>
      <c r="AA251" s="56"/>
      <c r="AB251" s="54"/>
      <c r="AC251" s="54"/>
      <c r="AD251" s="54"/>
      <c r="AE251" s="54"/>
    </row>
    <row r="252" s="130" customFormat="1" ht="11.25" customHeight="1">
      <c r="A252" s="684"/>
      <c r="B252" s="57"/>
      <c r="C252" s="57"/>
      <c r="D252" s="130"/>
      <c r="K252" s="53"/>
      <c r="L252" s="57"/>
      <c r="M252" s="57"/>
      <c r="N252" s="53"/>
      <c r="O252" s="53"/>
      <c r="P252" s="53"/>
      <c r="Q252" s="53"/>
      <c r="R252" s="57"/>
      <c r="S252" s="53"/>
      <c r="T252" s="53"/>
      <c r="U252" s="685"/>
      <c r="V252" s="53"/>
      <c r="W252" s="53"/>
      <c r="X252" s="53"/>
      <c r="Y252" s="53"/>
      <c r="Z252" s="53"/>
      <c r="AA252" s="56"/>
      <c r="AB252" s="54"/>
      <c r="AC252" s="54"/>
      <c r="AD252" s="54"/>
      <c r="AE252" s="54"/>
    </row>
    <row r="253" s="130" customFormat="1" ht="11.25" customHeight="1">
      <c r="A253" s="684"/>
      <c r="B253" s="57"/>
      <c r="C253" s="57"/>
      <c r="D253" s="130"/>
      <c r="K253" s="53"/>
      <c r="L253" s="57"/>
      <c r="M253" s="57"/>
      <c r="N253" s="53"/>
      <c r="O253" s="53"/>
      <c r="P253" s="53"/>
      <c r="Q253" s="53"/>
      <c r="R253" s="57"/>
      <c r="S253" s="53"/>
      <c r="T253" s="53"/>
      <c r="U253" s="685"/>
      <c r="V253" s="53"/>
      <c r="W253" s="53"/>
      <c r="X253" s="53"/>
      <c r="Y253" s="53"/>
      <c r="Z253" s="53"/>
      <c r="AA253" s="56"/>
      <c r="AB253" s="54"/>
      <c r="AC253" s="54"/>
      <c r="AD253" s="54"/>
      <c r="AE253" s="54"/>
    </row>
    <row r="254" s="130" customFormat="1" ht="11.25" customHeight="1">
      <c r="A254" s="684"/>
      <c r="B254" s="57"/>
      <c r="C254" s="57"/>
      <c r="D254" s="130"/>
      <c r="K254" s="53"/>
      <c r="L254" s="57"/>
      <c r="M254" s="57"/>
      <c r="N254" s="53"/>
      <c r="O254" s="53"/>
      <c r="P254" s="53"/>
      <c r="Q254" s="53"/>
      <c r="R254" s="57"/>
      <c r="S254" s="53"/>
      <c r="T254" s="53"/>
      <c r="U254" s="685"/>
      <c r="V254" s="53"/>
      <c r="W254" s="53"/>
      <c r="X254" s="53"/>
      <c r="Y254" s="53"/>
      <c r="Z254" s="53"/>
      <c r="AA254" s="56"/>
      <c r="AB254" s="54"/>
      <c r="AC254" s="54"/>
      <c r="AD254" s="54"/>
      <c r="AE254" s="54"/>
    </row>
    <row r="255" s="130" customFormat="1" ht="11.25" customHeight="1">
      <c r="A255" s="684"/>
      <c r="B255" s="57"/>
      <c r="C255" s="57"/>
      <c r="D255" s="130"/>
      <c r="K255" s="53"/>
      <c r="L255" s="57"/>
      <c r="M255" s="57"/>
      <c r="N255" s="53"/>
      <c r="O255" s="53"/>
      <c r="P255" s="53"/>
      <c r="Q255" s="53"/>
      <c r="R255" s="57"/>
      <c r="S255" s="53"/>
      <c r="T255" s="53"/>
      <c r="U255" s="685"/>
      <c r="V255" s="53"/>
      <c r="W255" s="53"/>
      <c r="X255" s="53"/>
      <c r="Y255" s="53"/>
      <c r="Z255" s="53"/>
      <c r="AA255" s="56"/>
      <c r="AB255" s="54"/>
      <c r="AC255" s="54"/>
      <c r="AD255" s="54"/>
      <c r="AE255" s="54"/>
    </row>
    <row r="256" s="130" customFormat="1" ht="11.25" customHeight="1">
      <c r="A256" s="684"/>
      <c r="B256" s="57"/>
      <c r="C256" s="57"/>
      <c r="D256" s="130"/>
      <c r="K256" s="53"/>
      <c r="L256" s="57"/>
      <c r="M256" s="57"/>
      <c r="N256" s="53"/>
      <c r="O256" s="53"/>
      <c r="P256" s="53"/>
      <c r="Q256" s="53"/>
      <c r="R256" s="57"/>
      <c r="S256" s="53"/>
      <c r="T256" s="53"/>
      <c r="U256" s="685"/>
      <c r="V256" s="53"/>
      <c r="W256" s="53"/>
      <c r="X256" s="53"/>
      <c r="Y256" s="53"/>
      <c r="Z256" s="53"/>
      <c r="AA256" s="56"/>
      <c r="AB256" s="54"/>
      <c r="AC256" s="54"/>
      <c r="AD256" s="54"/>
      <c r="AE256" s="54"/>
    </row>
    <row r="257" s="130" customFormat="1" ht="11.25" customHeight="1">
      <c r="A257" s="684"/>
      <c r="B257" s="57"/>
      <c r="C257" s="57"/>
      <c r="D257" s="130"/>
      <c r="K257" s="53"/>
      <c r="L257" s="57"/>
      <c r="M257" s="57"/>
      <c r="N257" s="53"/>
      <c r="O257" s="53"/>
      <c r="P257" s="53"/>
      <c r="Q257" s="53"/>
      <c r="R257" s="57"/>
      <c r="S257" s="53"/>
      <c r="T257" s="53"/>
      <c r="U257" s="685"/>
      <c r="V257" s="53"/>
      <c r="W257" s="53"/>
      <c r="X257" s="53"/>
      <c r="Y257" s="53"/>
      <c r="Z257" s="53"/>
      <c r="AA257" s="56"/>
      <c r="AB257" s="54"/>
      <c r="AC257" s="54"/>
      <c r="AD257" s="54"/>
      <c r="AE257" s="54"/>
    </row>
    <row r="258" s="130" customFormat="1" ht="11.25" customHeight="1">
      <c r="A258" s="684"/>
      <c r="B258" s="57"/>
      <c r="C258" s="57"/>
      <c r="D258" s="130"/>
      <c r="K258" s="53"/>
      <c r="L258" s="57"/>
      <c r="M258" s="57"/>
      <c r="N258" s="53"/>
      <c r="O258" s="53"/>
      <c r="P258" s="53"/>
      <c r="Q258" s="53"/>
      <c r="R258" s="57"/>
      <c r="S258" s="53"/>
      <c r="T258" s="53"/>
      <c r="U258" s="685"/>
      <c r="V258" s="53"/>
      <c r="W258" s="53"/>
      <c r="X258" s="53"/>
      <c r="Y258" s="53"/>
      <c r="Z258" s="53"/>
      <c r="AA258" s="56"/>
      <c r="AB258" s="54"/>
      <c r="AC258" s="54"/>
      <c r="AD258" s="54"/>
      <c r="AE258" s="54"/>
    </row>
    <row r="259" s="130" customFormat="1" ht="11.25" customHeight="1">
      <c r="A259" s="684"/>
      <c r="B259" s="57"/>
      <c r="C259" s="57"/>
      <c r="D259" s="130"/>
      <c r="K259" s="53"/>
      <c r="L259" s="57"/>
      <c r="M259" s="57"/>
      <c r="N259" s="53"/>
      <c r="O259" s="53"/>
      <c r="P259" s="53"/>
      <c r="Q259" s="53"/>
      <c r="R259" s="57"/>
      <c r="S259" s="53"/>
      <c r="T259" s="53"/>
      <c r="U259" s="685"/>
      <c r="V259" s="53"/>
      <c r="W259" s="53"/>
      <c r="X259" s="53"/>
      <c r="Y259" s="53"/>
      <c r="Z259" s="53"/>
      <c r="AA259" s="56"/>
      <c r="AB259" s="54"/>
      <c r="AC259" s="54"/>
      <c r="AD259" s="54"/>
      <c r="AE259" s="54"/>
    </row>
    <row r="260" s="130" customFormat="1" ht="11.25" customHeight="1">
      <c r="A260" s="684"/>
      <c r="B260" s="57"/>
      <c r="C260" s="57"/>
      <c r="D260" s="130"/>
      <c r="K260" s="53"/>
      <c r="L260" s="57"/>
      <c r="M260" s="57"/>
      <c r="N260" s="53"/>
      <c r="O260" s="53"/>
      <c r="P260" s="53"/>
      <c r="Q260" s="53"/>
      <c r="R260" s="57"/>
      <c r="S260" s="53"/>
      <c r="T260" s="53"/>
      <c r="U260" s="685"/>
      <c r="V260" s="53"/>
      <c r="W260" s="53"/>
      <c r="X260" s="53"/>
      <c r="Y260" s="53"/>
      <c r="Z260" s="53"/>
      <c r="AA260" s="56"/>
      <c r="AB260" s="54"/>
      <c r="AC260" s="54"/>
      <c r="AD260" s="54"/>
      <c r="AE260" s="54"/>
    </row>
    <row r="261" s="130" customFormat="1" ht="11.25" customHeight="1">
      <c r="A261" s="684"/>
      <c r="B261" s="57"/>
      <c r="C261" s="57"/>
      <c r="D261" s="130"/>
      <c r="K261" s="53"/>
      <c r="L261" s="57"/>
      <c r="M261" s="57"/>
      <c r="N261" s="53"/>
      <c r="O261" s="53"/>
      <c r="P261" s="53"/>
      <c r="Q261" s="53"/>
      <c r="R261" s="57"/>
      <c r="S261" s="53"/>
      <c r="T261" s="53"/>
      <c r="U261" s="685"/>
      <c r="V261" s="53"/>
      <c r="W261" s="53"/>
      <c r="X261" s="53"/>
      <c r="Y261" s="53"/>
      <c r="Z261" s="53"/>
      <c r="AA261" s="56"/>
      <c r="AB261" s="54"/>
      <c r="AC261" s="54"/>
      <c r="AD261" s="54"/>
      <c r="AE261" s="54"/>
    </row>
    <row r="262" s="130" customFormat="1" ht="11.25" customHeight="1">
      <c r="A262" s="684"/>
      <c r="B262" s="57"/>
      <c r="C262" s="57"/>
      <c r="D262" s="130"/>
      <c r="K262" s="53"/>
      <c r="L262" s="57"/>
      <c r="M262" s="57"/>
      <c r="N262" s="53"/>
      <c r="O262" s="53"/>
      <c r="P262" s="53"/>
      <c r="Q262" s="53"/>
      <c r="R262" s="57"/>
      <c r="S262" s="53"/>
      <c r="T262" s="53"/>
      <c r="U262" s="685"/>
      <c r="V262" s="53"/>
      <c r="W262" s="53"/>
      <c r="X262" s="53"/>
      <c r="Y262" s="53"/>
      <c r="Z262" s="53"/>
      <c r="AA262" s="56"/>
      <c r="AB262" s="54"/>
      <c r="AC262" s="54"/>
      <c r="AD262" s="54"/>
      <c r="AE262" s="54"/>
    </row>
    <row r="263" s="130" customFormat="1" ht="11.25" customHeight="1">
      <c r="A263" s="684"/>
      <c r="B263" s="57"/>
      <c r="C263" s="57"/>
      <c r="D263" s="130"/>
      <c r="K263" s="53"/>
      <c r="L263" s="57"/>
      <c r="M263" s="57"/>
      <c r="N263" s="53"/>
      <c r="O263" s="53"/>
      <c r="P263" s="53"/>
      <c r="Q263" s="53"/>
      <c r="R263" s="57"/>
      <c r="S263" s="53"/>
      <c r="T263" s="53"/>
      <c r="U263" s="685"/>
      <c r="V263" s="53"/>
      <c r="W263" s="53"/>
      <c r="X263" s="53"/>
      <c r="Y263" s="53"/>
      <c r="Z263" s="53"/>
      <c r="AA263" s="56"/>
      <c r="AB263" s="54"/>
      <c r="AC263" s="54"/>
      <c r="AD263" s="54"/>
      <c r="AE263" s="54"/>
    </row>
    <row r="264" s="130" customFormat="1" ht="11.25" customHeight="1">
      <c r="A264" s="684"/>
      <c r="B264" s="57"/>
      <c r="C264" s="57"/>
      <c r="D264" s="130"/>
      <c r="K264" s="53"/>
      <c r="L264" s="57"/>
      <c r="M264" s="57"/>
      <c r="N264" s="53"/>
      <c r="O264" s="53"/>
      <c r="P264" s="53"/>
      <c r="Q264" s="53"/>
      <c r="R264" s="57"/>
      <c r="S264" s="53"/>
      <c r="T264" s="53"/>
      <c r="U264" s="685"/>
      <c r="V264" s="53"/>
      <c r="W264" s="53"/>
      <c r="X264" s="53"/>
      <c r="Y264" s="53"/>
      <c r="Z264" s="53"/>
      <c r="AA264" s="56"/>
      <c r="AB264" s="54"/>
      <c r="AC264" s="54"/>
      <c r="AD264" s="54"/>
      <c r="AE264" s="54"/>
    </row>
    <row r="265" s="130" customFormat="1" ht="11.25" customHeight="1">
      <c r="A265" s="684"/>
      <c r="B265" s="57"/>
      <c r="C265" s="57"/>
      <c r="D265" s="130"/>
      <c r="K265" s="53"/>
      <c r="L265" s="57"/>
      <c r="M265" s="57"/>
      <c r="N265" s="53"/>
      <c r="O265" s="53"/>
      <c r="P265" s="53"/>
      <c r="Q265" s="53"/>
      <c r="R265" s="57"/>
      <c r="S265" s="53"/>
      <c r="T265" s="53"/>
      <c r="U265" s="685"/>
      <c r="V265" s="53"/>
      <c r="W265" s="53"/>
      <c r="X265" s="53"/>
      <c r="Y265" s="53"/>
      <c r="Z265" s="53"/>
      <c r="AA265" s="56"/>
      <c r="AB265" s="54"/>
      <c r="AC265" s="54"/>
      <c r="AD265" s="54"/>
      <c r="AE265" s="54"/>
    </row>
    <row r="266" s="130" customFormat="1" ht="11.25" customHeight="1">
      <c r="A266" s="684"/>
      <c r="B266" s="57"/>
      <c r="C266" s="57"/>
      <c r="D266" s="130"/>
      <c r="K266" s="53"/>
      <c r="L266" s="57"/>
      <c r="M266" s="57"/>
      <c r="N266" s="53"/>
      <c r="O266" s="53"/>
      <c r="P266" s="53"/>
      <c r="Q266" s="53"/>
      <c r="R266" s="57"/>
      <c r="S266" s="53"/>
      <c r="T266" s="53"/>
      <c r="U266" s="685"/>
      <c r="V266" s="53"/>
      <c r="W266" s="53"/>
      <c r="X266" s="53"/>
      <c r="Y266" s="53"/>
      <c r="Z266" s="53"/>
      <c r="AA266" s="56"/>
      <c r="AB266" s="54"/>
      <c r="AC266" s="54"/>
      <c r="AD266" s="54"/>
      <c r="AE266" s="54"/>
    </row>
    <row r="267" s="130" customFormat="1" ht="11.25" customHeight="1">
      <c r="A267" s="684"/>
      <c r="B267" s="57"/>
      <c r="C267" s="57"/>
      <c r="D267" s="130"/>
      <c r="K267" s="53"/>
      <c r="L267" s="57"/>
      <c r="M267" s="57"/>
      <c r="N267" s="53"/>
      <c r="O267" s="53"/>
      <c r="P267" s="53"/>
      <c r="Q267" s="53"/>
      <c r="R267" s="57"/>
      <c r="S267" s="53"/>
      <c r="T267" s="53"/>
      <c r="U267" s="685"/>
      <c r="V267" s="53"/>
      <c r="W267" s="53"/>
      <c r="X267" s="53"/>
      <c r="Y267" s="53"/>
      <c r="Z267" s="53"/>
      <c r="AA267" s="56"/>
      <c r="AB267" s="54"/>
      <c r="AC267" s="54"/>
      <c r="AD267" s="54"/>
      <c r="AE267" s="54"/>
    </row>
    <row r="268" s="130" customFormat="1" ht="11.25" customHeight="1">
      <c r="A268" s="684"/>
      <c r="B268" s="57"/>
      <c r="C268" s="57"/>
      <c r="D268" s="130"/>
      <c r="K268" s="53"/>
      <c r="L268" s="57"/>
      <c r="M268" s="57"/>
      <c r="N268" s="53"/>
      <c r="O268" s="53"/>
      <c r="P268" s="53"/>
      <c r="Q268" s="53"/>
      <c r="R268" s="57"/>
      <c r="S268" s="53"/>
      <c r="T268" s="53"/>
      <c r="U268" s="685"/>
      <c r="V268" s="53"/>
      <c r="W268" s="53"/>
      <c r="X268" s="53"/>
      <c r="Y268" s="53"/>
      <c r="Z268" s="53"/>
      <c r="AA268" s="56"/>
      <c r="AB268" s="54"/>
      <c r="AC268" s="54"/>
      <c r="AD268" s="54"/>
      <c r="AE268" s="54"/>
    </row>
    <row r="269" s="130" customFormat="1" ht="11.25" customHeight="1">
      <c r="A269" s="684"/>
      <c r="B269" s="57"/>
      <c r="C269" s="57"/>
      <c r="D269" s="130"/>
      <c r="K269" s="53"/>
      <c r="L269" s="57"/>
      <c r="M269" s="57"/>
      <c r="N269" s="53"/>
      <c r="O269" s="53"/>
      <c r="P269" s="53"/>
      <c r="Q269" s="53"/>
      <c r="R269" s="57"/>
      <c r="S269" s="53"/>
      <c r="T269" s="53"/>
      <c r="U269" s="685"/>
      <c r="V269" s="53"/>
      <c r="W269" s="53"/>
      <c r="X269" s="53"/>
      <c r="Y269" s="53"/>
      <c r="Z269" s="53"/>
      <c r="AA269" s="56"/>
      <c r="AB269" s="54"/>
      <c r="AC269" s="54"/>
      <c r="AD269" s="54"/>
      <c r="AE269" s="54"/>
    </row>
    <row r="270" s="130" customFormat="1" ht="11.25" customHeight="1">
      <c r="A270" s="684"/>
      <c r="B270" s="57"/>
      <c r="C270" s="57"/>
      <c r="D270" s="130"/>
      <c r="K270" s="53"/>
      <c r="L270" s="57"/>
      <c r="M270" s="57"/>
      <c r="N270" s="53"/>
      <c r="O270" s="53"/>
      <c r="P270" s="53"/>
      <c r="Q270" s="53"/>
      <c r="R270" s="57"/>
      <c r="S270" s="53"/>
      <c r="T270" s="53"/>
      <c r="U270" s="685"/>
      <c r="V270" s="53"/>
      <c r="W270" s="53"/>
      <c r="X270" s="53"/>
      <c r="Y270" s="53"/>
      <c r="Z270" s="53"/>
      <c r="AA270" s="56"/>
      <c r="AB270" s="54"/>
      <c r="AC270" s="54"/>
      <c r="AD270" s="54"/>
      <c r="AE270" s="54"/>
    </row>
    <row r="271" s="130" customFormat="1" ht="11.25" customHeight="1">
      <c r="A271" s="684"/>
      <c r="B271" s="57"/>
      <c r="C271" s="57"/>
      <c r="D271" s="130"/>
      <c r="K271" s="53"/>
      <c r="L271" s="57"/>
      <c r="M271" s="57"/>
      <c r="N271" s="53"/>
      <c r="O271" s="53"/>
      <c r="P271" s="53"/>
      <c r="Q271" s="53"/>
      <c r="R271" s="57"/>
      <c r="S271" s="53"/>
      <c r="T271" s="53"/>
      <c r="U271" s="685"/>
      <c r="V271" s="53"/>
      <c r="W271" s="53"/>
      <c r="X271" s="53"/>
      <c r="Y271" s="53"/>
      <c r="Z271" s="53"/>
      <c r="AA271" s="56"/>
      <c r="AB271" s="54"/>
      <c r="AC271" s="54"/>
      <c r="AD271" s="54"/>
      <c r="AE271" s="54"/>
    </row>
    <row r="272" s="130" customFormat="1" ht="11.25" customHeight="1">
      <c r="A272" s="684"/>
      <c r="B272" s="57"/>
      <c r="C272" s="57"/>
      <c r="D272" s="130"/>
      <c r="K272" s="53"/>
      <c r="L272" s="57"/>
      <c r="M272" s="57"/>
      <c r="N272" s="53"/>
      <c r="O272" s="53"/>
      <c r="P272" s="53"/>
      <c r="Q272" s="53"/>
      <c r="R272" s="57"/>
      <c r="S272" s="53"/>
      <c r="T272" s="53"/>
      <c r="U272" s="685"/>
      <c r="V272" s="53"/>
      <c r="W272" s="53"/>
      <c r="X272" s="53"/>
      <c r="Y272" s="53"/>
      <c r="Z272" s="53"/>
      <c r="AA272" s="56"/>
      <c r="AB272" s="54"/>
      <c r="AC272" s="54"/>
      <c r="AD272" s="54"/>
      <c r="AE272" s="54"/>
    </row>
    <row r="273" s="130" customFormat="1" ht="11.25" customHeight="1">
      <c r="A273" s="684"/>
      <c r="B273" s="57"/>
      <c r="C273" s="57"/>
      <c r="D273" s="130"/>
      <c r="K273" s="53"/>
      <c r="L273" s="57"/>
      <c r="M273" s="57"/>
      <c r="N273" s="53"/>
      <c r="O273" s="53"/>
      <c r="P273" s="53"/>
      <c r="Q273" s="53"/>
      <c r="R273" s="57"/>
      <c r="S273" s="53"/>
      <c r="T273" s="53"/>
      <c r="U273" s="685"/>
      <c r="V273" s="53"/>
      <c r="W273" s="53"/>
      <c r="X273" s="53"/>
      <c r="Y273" s="53"/>
      <c r="Z273" s="53"/>
      <c r="AA273" s="56"/>
      <c r="AB273" s="54"/>
      <c r="AC273" s="54"/>
      <c r="AD273" s="54"/>
      <c r="AE273" s="54"/>
    </row>
    <row r="274" s="130" customFormat="1" ht="11.25" customHeight="1">
      <c r="A274" s="684"/>
      <c r="B274" s="57"/>
      <c r="C274" s="57"/>
      <c r="D274" s="130"/>
      <c r="K274" s="53"/>
      <c r="L274" s="57"/>
      <c r="M274" s="57"/>
      <c r="N274" s="53"/>
      <c r="O274" s="53"/>
      <c r="P274" s="53"/>
      <c r="Q274" s="53"/>
      <c r="R274" s="57"/>
      <c r="S274" s="53"/>
      <c r="T274" s="53"/>
      <c r="U274" s="685"/>
      <c r="V274" s="53"/>
      <c r="W274" s="53"/>
      <c r="X274" s="53"/>
      <c r="Y274" s="53"/>
      <c r="Z274" s="53"/>
      <c r="AA274" s="56"/>
      <c r="AB274" s="54"/>
      <c r="AC274" s="54"/>
      <c r="AD274" s="54"/>
      <c r="AE274" s="54"/>
    </row>
    <row r="275" s="130" customFormat="1" ht="11.25" customHeight="1">
      <c r="A275" s="684"/>
      <c r="B275" s="57"/>
      <c r="C275" s="57"/>
      <c r="D275" s="130"/>
      <c r="K275" s="53"/>
      <c r="L275" s="57"/>
      <c r="M275" s="57"/>
      <c r="N275" s="53"/>
      <c r="O275" s="53"/>
      <c r="P275" s="53"/>
      <c r="Q275" s="53"/>
      <c r="R275" s="57"/>
      <c r="S275" s="53"/>
      <c r="T275" s="53"/>
      <c r="U275" s="685"/>
      <c r="V275" s="53"/>
      <c r="W275" s="53"/>
      <c r="X275" s="53"/>
      <c r="Y275" s="53"/>
      <c r="Z275" s="53"/>
      <c r="AA275" s="56"/>
      <c r="AB275" s="54"/>
      <c r="AC275" s="54"/>
      <c r="AD275" s="54"/>
      <c r="AE275" s="54"/>
    </row>
    <row r="276" s="130" customFormat="1" ht="11.25" customHeight="1">
      <c r="A276" s="684"/>
      <c r="B276" s="57"/>
      <c r="C276" s="57"/>
      <c r="D276" s="130"/>
      <c r="K276" s="53"/>
      <c r="L276" s="57"/>
      <c r="M276" s="57"/>
      <c r="N276" s="53"/>
      <c r="O276" s="53"/>
      <c r="P276" s="53"/>
      <c r="Q276" s="53"/>
      <c r="R276" s="57"/>
      <c r="S276" s="53"/>
      <c r="T276" s="53"/>
      <c r="U276" s="685"/>
      <c r="V276" s="53"/>
      <c r="W276" s="53"/>
      <c r="X276" s="53"/>
      <c r="Y276" s="53"/>
      <c r="Z276" s="53"/>
      <c r="AA276" s="56"/>
      <c r="AB276" s="54"/>
      <c r="AC276" s="54"/>
      <c r="AD276" s="54"/>
      <c r="AE276" s="54"/>
    </row>
    <row r="277" s="130" customFormat="1" ht="11.25" customHeight="1">
      <c r="A277" s="684"/>
      <c r="B277" s="57"/>
      <c r="C277" s="57"/>
      <c r="D277" s="130"/>
      <c r="K277" s="53"/>
      <c r="L277" s="57"/>
      <c r="M277" s="57"/>
      <c r="N277" s="53"/>
      <c r="O277" s="53"/>
      <c r="P277" s="53"/>
      <c r="Q277" s="53"/>
      <c r="R277" s="57"/>
      <c r="S277" s="53"/>
      <c r="T277" s="53"/>
      <c r="U277" s="685"/>
      <c r="V277" s="53"/>
      <c r="W277" s="53"/>
      <c r="X277" s="53"/>
      <c r="Y277" s="53"/>
      <c r="Z277" s="53"/>
      <c r="AA277" s="56"/>
      <c r="AB277" s="54"/>
      <c r="AC277" s="54"/>
      <c r="AD277" s="54"/>
      <c r="AE277" s="54"/>
    </row>
    <row r="278" s="130" customFormat="1" ht="11.25" customHeight="1">
      <c r="A278" s="684"/>
      <c r="B278" s="57"/>
      <c r="C278" s="57"/>
      <c r="D278" s="130"/>
      <c r="K278" s="53"/>
      <c r="L278" s="57"/>
      <c r="M278" s="57"/>
      <c r="N278" s="53"/>
      <c r="O278" s="53"/>
      <c r="P278" s="53"/>
      <c r="Q278" s="53"/>
      <c r="R278" s="57"/>
      <c r="S278" s="53"/>
      <c r="T278" s="53"/>
      <c r="U278" s="685"/>
      <c r="V278" s="53"/>
      <c r="W278" s="53"/>
      <c r="X278" s="53"/>
      <c r="Y278" s="53"/>
      <c r="Z278" s="53"/>
      <c r="AA278" s="56"/>
      <c r="AB278" s="54"/>
      <c r="AC278" s="54"/>
      <c r="AD278" s="54"/>
      <c r="AE278" s="54"/>
    </row>
    <row r="279" s="130" customFormat="1" ht="11.25" customHeight="1">
      <c r="A279" s="684"/>
      <c r="B279" s="57"/>
      <c r="C279" s="57"/>
      <c r="D279" s="130"/>
      <c r="K279" s="53"/>
      <c r="L279" s="57"/>
      <c r="M279" s="57"/>
      <c r="N279" s="53"/>
      <c r="O279" s="53"/>
      <c r="P279" s="53"/>
      <c r="Q279" s="53"/>
      <c r="R279" s="57"/>
      <c r="S279" s="53"/>
      <c r="T279" s="53"/>
      <c r="U279" s="685"/>
      <c r="V279" s="53"/>
      <c r="W279" s="53"/>
      <c r="X279" s="53"/>
      <c r="Y279" s="53"/>
      <c r="Z279" s="53"/>
      <c r="AA279" s="56"/>
      <c r="AB279" s="54"/>
      <c r="AC279" s="54"/>
      <c r="AD279" s="54"/>
      <c r="AE279" s="54"/>
    </row>
    <row r="280" s="130" customFormat="1" ht="11.25" customHeight="1">
      <c r="A280" s="684"/>
      <c r="B280" s="57"/>
      <c r="C280" s="57"/>
      <c r="D280" s="130"/>
      <c r="K280" s="53"/>
      <c r="L280" s="57"/>
      <c r="M280" s="57"/>
      <c r="N280" s="53"/>
      <c r="O280" s="53"/>
      <c r="P280" s="53"/>
      <c r="Q280" s="53"/>
      <c r="R280" s="57"/>
      <c r="S280" s="53"/>
      <c r="T280" s="53"/>
      <c r="U280" s="685"/>
      <c r="V280" s="53"/>
      <c r="W280" s="53"/>
      <c r="X280" s="53"/>
      <c r="Y280" s="53"/>
      <c r="Z280" s="53"/>
      <c r="AA280" s="56"/>
      <c r="AB280" s="54"/>
      <c r="AC280" s="54"/>
      <c r="AD280" s="54"/>
      <c r="AE280" s="54"/>
    </row>
    <row r="281" s="130" customFormat="1" ht="11.25" customHeight="1">
      <c r="A281" s="684"/>
      <c r="B281" s="57"/>
      <c r="C281" s="57"/>
      <c r="D281" s="130"/>
      <c r="K281" s="53"/>
      <c r="L281" s="57"/>
      <c r="M281" s="57"/>
      <c r="N281" s="53"/>
      <c r="O281" s="53"/>
      <c r="P281" s="53"/>
      <c r="Q281" s="53"/>
      <c r="R281" s="57"/>
      <c r="S281" s="53"/>
      <c r="T281" s="53"/>
      <c r="U281" s="685"/>
      <c r="V281" s="53"/>
      <c r="W281" s="53"/>
      <c r="X281" s="53"/>
      <c r="Y281" s="53"/>
      <c r="Z281" s="53"/>
      <c r="AA281" s="56"/>
      <c r="AB281" s="54"/>
      <c r="AC281" s="54"/>
      <c r="AD281" s="54"/>
      <c r="AE281" s="54"/>
    </row>
    <row r="282" s="130" customFormat="1" ht="11.25" customHeight="1">
      <c r="A282" s="684"/>
      <c r="B282" s="57"/>
      <c r="C282" s="57"/>
      <c r="D282" s="130"/>
      <c r="K282" s="53"/>
      <c r="L282" s="57"/>
      <c r="M282" s="57"/>
      <c r="N282" s="53"/>
      <c r="O282" s="53"/>
      <c r="P282" s="53"/>
      <c r="Q282" s="53"/>
      <c r="R282" s="57"/>
      <c r="S282" s="53"/>
      <c r="T282" s="53"/>
      <c r="U282" s="685"/>
      <c r="V282" s="53"/>
      <c r="W282" s="53"/>
      <c r="X282" s="53"/>
      <c r="Y282" s="53"/>
      <c r="Z282" s="53"/>
      <c r="AA282" s="56"/>
      <c r="AB282" s="54"/>
      <c r="AC282" s="54"/>
      <c r="AD282" s="54"/>
      <c r="AE282" s="54"/>
    </row>
    <row r="283" s="130" customFormat="1" ht="11.25" customHeight="1">
      <c r="A283" s="684"/>
      <c r="B283" s="57"/>
      <c r="C283" s="57"/>
      <c r="D283" s="130"/>
      <c r="K283" s="53"/>
      <c r="L283" s="57"/>
      <c r="M283" s="57"/>
      <c r="N283" s="53"/>
      <c r="O283" s="53"/>
      <c r="P283" s="53"/>
      <c r="Q283" s="53"/>
      <c r="R283" s="57"/>
      <c r="S283" s="53"/>
      <c r="T283" s="53"/>
      <c r="U283" s="685"/>
      <c r="V283" s="53"/>
      <c r="W283" s="53"/>
      <c r="X283" s="53"/>
      <c r="Y283" s="53"/>
      <c r="Z283" s="53"/>
      <c r="AA283" s="56"/>
      <c r="AB283" s="54"/>
      <c r="AC283" s="54"/>
      <c r="AD283" s="54"/>
      <c r="AE283" s="54"/>
    </row>
    <row r="284" s="130" customFormat="1" ht="11.25" customHeight="1">
      <c r="A284" s="684"/>
      <c r="B284" s="57"/>
      <c r="C284" s="57"/>
      <c r="D284" s="130"/>
      <c r="K284" s="53"/>
      <c r="L284" s="57"/>
      <c r="M284" s="57"/>
      <c r="N284" s="53"/>
      <c r="O284" s="53"/>
      <c r="P284" s="53"/>
      <c r="Q284" s="53"/>
      <c r="R284" s="57"/>
      <c r="S284" s="53"/>
      <c r="T284" s="53"/>
      <c r="U284" s="685"/>
      <c r="V284" s="53"/>
      <c r="W284" s="53"/>
      <c r="X284" s="53"/>
      <c r="Y284" s="53"/>
      <c r="Z284" s="53"/>
      <c r="AA284" s="56"/>
      <c r="AB284" s="54"/>
      <c r="AC284" s="54"/>
      <c r="AD284" s="54"/>
      <c r="AE284" s="54"/>
    </row>
    <row r="285" s="130" customFormat="1" ht="11.25" customHeight="1">
      <c r="A285" s="684"/>
      <c r="B285" s="57"/>
      <c r="C285" s="57"/>
      <c r="D285" s="130"/>
      <c r="K285" s="53"/>
      <c r="L285" s="57"/>
      <c r="M285" s="57"/>
      <c r="N285" s="53"/>
      <c r="O285" s="53"/>
      <c r="P285" s="53"/>
      <c r="Q285" s="53"/>
      <c r="R285" s="57"/>
      <c r="S285" s="53"/>
      <c r="T285" s="53"/>
      <c r="U285" s="685"/>
      <c r="V285" s="53"/>
      <c r="W285" s="53"/>
      <c r="X285" s="53"/>
      <c r="Y285" s="53"/>
      <c r="Z285" s="53"/>
      <c r="AA285" s="56"/>
      <c r="AB285" s="54"/>
      <c r="AC285" s="54"/>
      <c r="AD285" s="54"/>
      <c r="AE285" s="54"/>
    </row>
    <row r="286" s="130" customFormat="1" ht="11.25" customHeight="1">
      <c r="A286" s="684"/>
      <c r="B286" s="57"/>
      <c r="C286" s="57"/>
      <c r="D286" s="130"/>
      <c r="K286" s="53"/>
      <c r="L286" s="57"/>
      <c r="M286" s="57"/>
      <c r="N286" s="53"/>
      <c r="O286" s="53"/>
      <c r="P286" s="53"/>
      <c r="Q286" s="53"/>
      <c r="R286" s="57"/>
      <c r="S286" s="53"/>
      <c r="T286" s="53"/>
      <c r="U286" s="685"/>
      <c r="V286" s="53"/>
      <c r="W286" s="53"/>
      <c r="X286" s="53"/>
      <c r="Y286" s="53"/>
      <c r="Z286" s="53"/>
      <c r="AA286" s="56"/>
      <c r="AB286" s="54"/>
      <c r="AC286" s="54"/>
      <c r="AD286" s="54"/>
      <c r="AE286" s="54"/>
    </row>
    <row r="287" s="130" customFormat="1" ht="11.25" customHeight="1">
      <c r="A287" s="684"/>
      <c r="B287" s="57"/>
      <c r="C287" s="57"/>
      <c r="D287" s="130"/>
      <c r="K287" s="53"/>
      <c r="L287" s="57"/>
      <c r="M287" s="57"/>
      <c r="N287" s="53"/>
      <c r="O287" s="53"/>
      <c r="P287" s="53"/>
      <c r="Q287" s="53"/>
      <c r="R287" s="57"/>
      <c r="S287" s="53"/>
      <c r="T287" s="53"/>
      <c r="U287" s="685"/>
      <c r="V287" s="53"/>
      <c r="W287" s="53"/>
      <c r="X287" s="53"/>
      <c r="Y287" s="53"/>
      <c r="Z287" s="53"/>
      <c r="AA287" s="56"/>
      <c r="AB287" s="54"/>
      <c r="AC287" s="54"/>
      <c r="AD287" s="54"/>
      <c r="AE287" s="54"/>
    </row>
    <row r="288" s="130" customFormat="1" ht="11.25" customHeight="1">
      <c r="A288" s="684"/>
      <c r="B288" s="57"/>
      <c r="C288" s="57"/>
      <c r="D288" s="130"/>
      <c r="K288" s="53"/>
      <c r="L288" s="57"/>
      <c r="M288" s="57"/>
      <c r="N288" s="53"/>
      <c r="O288" s="53"/>
      <c r="P288" s="53"/>
      <c r="Q288" s="53"/>
      <c r="R288" s="57"/>
      <c r="S288" s="53"/>
      <c r="T288" s="53"/>
      <c r="U288" s="685"/>
      <c r="V288" s="53"/>
      <c r="W288" s="53"/>
      <c r="X288" s="53"/>
      <c r="Y288" s="53"/>
      <c r="Z288" s="53"/>
      <c r="AA288" s="56"/>
      <c r="AB288" s="54"/>
      <c r="AC288" s="54"/>
      <c r="AD288" s="54"/>
      <c r="AE288" s="54"/>
    </row>
    <row r="292" ht="11.25" customHeight="1">
      <c r="A292" s="750"/>
      <c r="B292" s="50"/>
      <c r="D292" s="50"/>
      <c r="K292" s="50"/>
      <c r="N292" s="50"/>
      <c r="O292" s="50"/>
      <c r="P292" s="50"/>
      <c r="Q292" s="50"/>
      <c r="S292" s="50"/>
      <c r="T292" s="50"/>
      <c r="U292" s="50"/>
      <c r="V292" s="50"/>
      <c r="W292" s="50"/>
      <c r="X292" s="50"/>
      <c r="Y292" s="50"/>
      <c r="Z292" s="50"/>
      <c r="AA292" s="50"/>
      <c r="AB292" s="50"/>
      <c r="AC292" s="50"/>
      <c r="AD292" s="50"/>
      <c r="AE292" s="50"/>
    </row>
    <row r="293" ht="11.25" customHeight="1">
      <c r="A293" s="750"/>
      <c r="B293" s="50"/>
      <c r="D293" s="50"/>
      <c r="K293" s="50"/>
      <c r="N293" s="50"/>
      <c r="O293" s="50"/>
      <c r="P293" s="50"/>
      <c r="Q293" s="50"/>
      <c r="S293" s="50"/>
      <c r="T293" s="50"/>
      <c r="U293" s="50"/>
      <c r="V293" s="50"/>
      <c r="W293" s="50"/>
      <c r="X293" s="50"/>
      <c r="Y293" s="50"/>
      <c r="Z293" s="50"/>
      <c r="AA293" s="50"/>
      <c r="AB293" s="50"/>
      <c r="AC293" s="50"/>
      <c r="AD293" s="50"/>
      <c r="AE293" s="50"/>
    </row>
    <row r="294" ht="11.25" customHeight="1">
      <c r="A294" s="750"/>
      <c r="B294" s="50"/>
      <c r="D294" s="50"/>
      <c r="K294" s="50"/>
      <c r="N294" s="50"/>
      <c r="O294" s="50"/>
      <c r="P294" s="50"/>
      <c r="Q294" s="50"/>
      <c r="S294" s="50"/>
      <c r="T294" s="50"/>
      <c r="U294" s="50"/>
      <c r="V294" s="50"/>
      <c r="W294" s="50"/>
      <c r="X294" s="50"/>
      <c r="Y294" s="50"/>
      <c r="Z294" s="50"/>
      <c r="AA294" s="50"/>
      <c r="AB294" s="50"/>
      <c r="AC294" s="50"/>
      <c r="AD294" s="50"/>
      <c r="AE294" s="50"/>
    </row>
    <row r="295" ht="11.25" customHeight="1">
      <c r="A295" s="750"/>
      <c r="B295" s="50"/>
      <c r="D295" s="50"/>
      <c r="K295" s="50"/>
      <c r="N295" s="50"/>
      <c r="O295" s="50"/>
      <c r="P295" s="50"/>
      <c r="Q295" s="50"/>
      <c r="S295" s="50"/>
      <c r="T295" s="50"/>
      <c r="U295" s="50"/>
      <c r="V295" s="50"/>
      <c r="W295" s="50"/>
      <c r="X295" s="50"/>
      <c r="Y295" s="50"/>
      <c r="Z295" s="50"/>
      <c r="AA295" s="50"/>
      <c r="AB295" s="50"/>
      <c r="AC295" s="50"/>
      <c r="AD295" s="50"/>
      <c r="AE295" s="50"/>
    </row>
    <row r="296" ht="11.25" customHeight="1">
      <c r="A296" s="750"/>
      <c r="B296" s="50"/>
      <c r="D296" s="50"/>
      <c r="K296" s="50"/>
      <c r="N296" s="50"/>
      <c r="O296" s="50"/>
      <c r="P296" s="50"/>
      <c r="Q296" s="50"/>
      <c r="S296" s="50"/>
      <c r="T296" s="50"/>
      <c r="U296" s="50"/>
      <c r="V296" s="50"/>
      <c r="W296" s="50"/>
      <c r="X296" s="50"/>
      <c r="Y296" s="50"/>
      <c r="Z296" s="50"/>
      <c r="AA296" s="50"/>
      <c r="AB296" s="50"/>
      <c r="AC296" s="50"/>
      <c r="AD296" s="50"/>
      <c r="AE296" s="50"/>
    </row>
    <row r="297" ht="11.25" customHeight="1">
      <c r="A297" s="750"/>
      <c r="B297" s="50"/>
      <c r="D297" s="50"/>
      <c r="K297" s="50"/>
      <c r="N297" s="50"/>
      <c r="O297" s="50"/>
      <c r="P297" s="50"/>
      <c r="Q297" s="50"/>
      <c r="S297" s="50"/>
      <c r="T297" s="50"/>
      <c r="U297" s="50"/>
      <c r="V297" s="50"/>
      <c r="W297" s="50"/>
      <c r="X297" s="50"/>
      <c r="Y297" s="50"/>
      <c r="Z297" s="50"/>
      <c r="AA297" s="50"/>
      <c r="AB297" s="50"/>
      <c r="AC297" s="50"/>
      <c r="AD297" s="50"/>
      <c r="AE297" s="50"/>
    </row>
    <row r="298" ht="11.25" customHeight="1">
      <c r="A298" s="750"/>
      <c r="B298" s="50"/>
      <c r="D298" s="50"/>
      <c r="K298" s="50"/>
      <c r="N298" s="50"/>
      <c r="O298" s="50"/>
      <c r="P298" s="50"/>
      <c r="Q298" s="50"/>
      <c r="S298" s="50"/>
      <c r="T298" s="50"/>
      <c r="U298" s="50"/>
      <c r="V298" s="50"/>
      <c r="W298" s="50"/>
      <c r="X298" s="50"/>
      <c r="Y298" s="50"/>
      <c r="Z298" s="50"/>
      <c r="AA298" s="50"/>
      <c r="AB298" s="50"/>
      <c r="AC298" s="50"/>
      <c r="AD298" s="50"/>
      <c r="AE298" s="50"/>
    </row>
    <row r="299" ht="11.25" customHeight="1">
      <c r="A299" s="750"/>
      <c r="B299" s="50"/>
      <c r="D299" s="50"/>
      <c r="K299" s="50"/>
      <c r="N299" s="50"/>
      <c r="O299" s="50"/>
      <c r="P299" s="50"/>
      <c r="Q299" s="50"/>
      <c r="S299" s="50"/>
      <c r="T299" s="50"/>
      <c r="U299" s="50"/>
      <c r="V299" s="50"/>
      <c r="W299" s="50"/>
      <c r="X299" s="50"/>
      <c r="Y299" s="50"/>
      <c r="Z299" s="50"/>
      <c r="AA299" s="50"/>
      <c r="AB299" s="50"/>
      <c r="AC299" s="50"/>
      <c r="AD299" s="50"/>
      <c r="AE299" s="50"/>
    </row>
    <row r="300" ht="11.25" customHeight="1">
      <c r="A300" s="750"/>
      <c r="B300" s="50"/>
      <c r="D300" s="50"/>
      <c r="K300" s="50"/>
      <c r="N300" s="50"/>
      <c r="O300" s="50"/>
      <c r="P300" s="50"/>
      <c r="Q300" s="50"/>
      <c r="S300" s="50"/>
      <c r="T300" s="50"/>
      <c r="U300" s="50"/>
      <c r="V300" s="50"/>
      <c r="W300" s="50"/>
      <c r="X300" s="50"/>
      <c r="Y300" s="50"/>
      <c r="Z300" s="50"/>
      <c r="AA300" s="50"/>
      <c r="AB300" s="50"/>
      <c r="AC300" s="50"/>
      <c r="AD300" s="50"/>
      <c r="AE300" s="50"/>
    </row>
    <row r="301" ht="11.25" customHeight="1">
      <c r="A301" s="750"/>
      <c r="B301" s="50"/>
      <c r="D301" s="50"/>
      <c r="K301" s="50"/>
      <c r="N301" s="50"/>
      <c r="O301" s="50"/>
      <c r="P301" s="50"/>
      <c r="Q301" s="50"/>
      <c r="S301" s="50"/>
      <c r="T301" s="50"/>
      <c r="U301" s="50"/>
      <c r="V301" s="50"/>
      <c r="W301" s="50"/>
      <c r="X301" s="50"/>
      <c r="Y301" s="50"/>
      <c r="Z301" s="50"/>
      <c r="AA301" s="50"/>
      <c r="AB301" s="50"/>
      <c r="AC301" s="50"/>
      <c r="AD301" s="50"/>
      <c r="AE301" s="50"/>
    </row>
    <row r="302" ht="11.25" customHeight="1">
      <c r="A302" s="750"/>
      <c r="B302" s="50"/>
      <c r="D302" s="50"/>
      <c r="K302" s="50"/>
      <c r="N302" s="50"/>
      <c r="O302" s="50"/>
      <c r="P302" s="50"/>
      <c r="Q302" s="50"/>
      <c r="S302" s="50"/>
      <c r="T302" s="50"/>
      <c r="U302" s="50"/>
      <c r="V302" s="50"/>
      <c r="W302" s="50"/>
      <c r="X302" s="50"/>
      <c r="Y302" s="50"/>
      <c r="Z302" s="50"/>
      <c r="AA302" s="50"/>
      <c r="AB302" s="50"/>
      <c r="AC302" s="50"/>
      <c r="AD302" s="50"/>
      <c r="AE302" s="50"/>
    </row>
  </sheetData>
  <sheetProtection autoFilter="0" deleteColumns="0" deleteRows="0" formatCells="1" formatColumns="0" formatRows="0" insertColumns="1" insertHyperlinks="1" insertRows="0" pivotTables="1" selectLockedCells="0" selectUnlockedCells="0" sheet="0" sort="0"/>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 disablePrompts="0">
    <dataValidation sqref="H68:I68 H66:I6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1" disablePrompts="0">
        <x14:dataValidation xr:uid="{006200F4-00B1-4481-95BA-00220010008B}" type="decimal" allowBlank="1" error="Введите значение от 0 до 100%" errorStyle="stop" errorTitle="Ошибка" imeMode="noControl" operator="between" showDropDown="0" showErrorMessage="1" showInputMessage="0">
          <x14:formula1>
            <xm:f>0</xm:f>
          </x14:formula1>
          <x14:formula2>
            <xm:f>100</xm:f>
          </x14:formula2>
          <xm:sqref>H90:I90 H95:I95</xm:sqref>
        </x14:dataValidation>
        <x14:dataValidation xr:uid="{0035004E-00A5-46FF-B520-006C00A90064}"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H123:I123 H120:I120 H126:I126 H75:I80</xm:sqref>
        </x14:dataValidation>
        <x14:dataValidation xr:uid="{00840004-00DC-4E63-BE3A-0096004300CE}"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H72:I73</xm:sqref>
        </x14:dataValidation>
        <x14:dataValidation xr:uid="{008800DB-00E9-42A6-A5E2-00D800A00008}"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H81:I81 H128:I130</xm:sqref>
        </x14:dataValidation>
        <x14:dataValidation xr:uid="{00200006-00E5-4F95-BA51-009E00C900E6}"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kind_of_volume_te_unit</xm:f>
          </x14:formula1>
          <xm:sqref>G93</xm:sqref>
        </x14:dataValidation>
        <x14:dataValidation xr:uid="{004D00B2-00EE-4D52-85A7-00080087004D}"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kind_of_fuels</xm:f>
          </x14:formula1>
          <xm:sqref>F2</xm:sqref>
        </x14:dataValidation>
        <x14:dataValidation xr:uid="{00B4007B-00A4-48D1-806A-006B00E900BA}" type="textLength" allowBlank="1" error="Допускается ввод не более 900 символов!" errorStyle="stop" errorTitle="Ошибка" imeMode="noControl" operator="lessThanOrEqual" prompt="Введите источник тепловой энергии" showDropDown="0" showErrorMessage="1" showInputMessage="1">
          <x14:formula1>
            <xm:f>900</xm:f>
          </x14:formula1>
          <xm:sqref/>
        </x14:dataValidation>
        <x14:dataValidation xr:uid="{001F00F4-00AA-4C5B-93FF-00CE00C100BB}"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H67:I67 H69:I69 H91:I94 H127:I127 H30:I30 H32:I33 H35:I38 H40:I65 H82:I86 H17:I17 H9:I13 H15:I15 H96:I119 H74:I74 H88:I89 H4:I6</xm:sqref>
        </x14:dataValidation>
        <x14:dataValidation xr:uid="{00FC0024-002B-480E-AD31-006D00260074}" type="textLength" allowBlank="1" error="Допускается ввод не более 900 символов!" errorStyle="stop" errorTitle="Ошибка" imeMode="noControl" operator="lessThanOrEqual" showDropDown="0" showErrorMessage="1" showInputMessage="1">
          <x14:formula1>
            <xm:f>900</xm:f>
          </x14:formula1>
          <xm:sqref>G4 H34:I34 H39:I39</xm:sqref>
        </x14:dataValidation>
        <x14:dataValidation xr:uid="{00DD0003-0052-4A5B-9EB3-003900F4001C}"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F12 F10 H70:I70</xm:sqref>
        </x14:dataValidation>
        <x14:dataValidation xr:uid="{00F60001-00D1-4887-9395-00560047007D}"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H7:I7</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9.140625" defaultRowHeight="11.25" customHeight="1"/>
  <cols>
    <col customWidth="1" hidden="1" min="1" max="1" style="751" width="14.7109375"/>
    <col customWidth="1" hidden="1" min="2" max="2" style="56" width="17.00390625"/>
    <col customWidth="1" min="3" max="3" style="50" width="3.7109375"/>
    <col customWidth="1" hidden="1" min="4" max="4" style="50" width="1.8515625"/>
    <col customWidth="1" min="5" max="6" style="50" width="7.7109375"/>
    <col customWidth="1" min="7" max="7" style="50" width="29.7109375"/>
    <col customWidth="1" min="8" max="8" style="50" width="3.7109375"/>
    <col customWidth="1" min="9" max="9" style="50" width="5.421875"/>
    <col customWidth="1" min="10" max="10" style="50" width="24.57421875"/>
    <col customWidth="1" min="11" max="11" style="50" width="24.421875"/>
    <col customWidth="1" min="12" max="12" style="50" width="3.7109375"/>
    <col customWidth="1" min="13" max="13" style="50" width="6.28125"/>
    <col customWidth="1" min="14" max="14" style="50" width="25.8515625"/>
    <col customWidth="1" min="15" max="18" style="50" width="18.7109375"/>
    <col customWidth="1" min="19" max="19" style="50" width="93.421875"/>
    <col customWidth="1" min="20" max="20" style="50" width="10.57421875"/>
    <col customWidth="1" min="21" max="21" style="57" width="10.57421875"/>
    <col customWidth="1" min="22" max="22" style="57" width="11.7109375"/>
    <col customWidth="1" min="23" max="27" style="56" width="10.57421875"/>
    <col min="28" max="83" style="50" width="9.140625"/>
  </cols>
  <sheetData>
    <row r="1" ht="11.25" hidden="1" customHeight="1"/>
    <row r="2" ht="11.25" hidden="1" customHeight="1"/>
    <row r="3" ht="11.25" hidden="1" customHeight="1"/>
    <row r="4" ht="3" customHeight="1">
      <c r="C4" s="50"/>
      <c r="D4" s="50"/>
      <c r="E4" s="50"/>
      <c r="F4" s="50"/>
      <c r="G4" s="50"/>
      <c r="H4" s="50"/>
      <c r="I4" s="50"/>
      <c r="J4" s="50"/>
      <c r="K4" s="139"/>
      <c r="L4" s="139"/>
      <c r="M4" s="139"/>
    </row>
    <row r="5" ht="28.5" customHeight="1">
      <c r="C5" s="50"/>
      <c r="D5" s="752"/>
      <c r="E5" s="451" t="str">
        <f>FHD20_NAME_FORM</f>
        <v xml:space="preserve">Форма 11. Информация о расходах на капитальный и текущий ремонт основных средств</v>
      </c>
      <c r="F5" s="451"/>
      <c r="G5" s="451"/>
      <c r="H5" s="451"/>
      <c r="I5" s="451"/>
      <c r="J5" s="451"/>
      <c r="K5" s="451"/>
      <c r="L5" s="51"/>
      <c r="M5" s="51"/>
    </row>
    <row r="6" s="50" customFormat="1" ht="16.5" customHeight="1">
      <c r="A6" s="751"/>
      <c r="B6" s="56"/>
      <c r="C6" s="50"/>
      <c r="D6" s="753"/>
      <c r="E6" s="302" t="str">
        <f>IF(org=0,"Не определено",org)</f>
        <v xml:space="preserve">филиал ПАО "ОГК-2" - Адлерская ТЭС</v>
      </c>
      <c r="F6" s="302"/>
      <c r="G6" s="302"/>
      <c r="H6" s="302"/>
      <c r="I6" s="302"/>
      <c r="J6" s="302"/>
      <c r="K6" s="302"/>
      <c r="L6" s="51"/>
      <c r="M6" s="51"/>
      <c r="U6" s="57"/>
      <c r="V6" s="57"/>
      <c r="W6" s="56"/>
      <c r="X6" s="56"/>
      <c r="Y6" s="56"/>
      <c r="Z6" s="56"/>
      <c r="AA6" s="56"/>
    </row>
    <row r="7" ht="11.25" customHeight="1">
      <c r="C7" s="50"/>
      <c r="D7" s="50"/>
      <c r="E7" s="50"/>
      <c r="F7" s="50"/>
      <c r="G7" s="51"/>
      <c r="H7" s="51"/>
      <c r="I7" s="51"/>
      <c r="J7" s="51"/>
      <c r="K7" s="754"/>
      <c r="L7" s="754"/>
      <c r="M7" s="754"/>
      <c r="R7" s="341"/>
    </row>
    <row r="8" s="130" customFormat="1" ht="5.25" customHeight="1">
      <c r="A8" s="755"/>
      <c r="B8" s="54"/>
      <c r="C8" s="130"/>
      <c r="D8" s="130"/>
      <c r="E8" s="130"/>
      <c r="F8" s="130"/>
      <c r="G8" s="709"/>
      <c r="H8" s="709"/>
      <c r="I8" s="709"/>
      <c r="J8" s="709"/>
      <c r="K8" s="756"/>
      <c r="L8" s="756"/>
      <c r="M8" s="756"/>
      <c r="R8" s="757"/>
      <c r="U8" s="57"/>
      <c r="V8" s="57"/>
      <c r="W8" s="54"/>
      <c r="X8" s="54"/>
      <c r="Y8" s="54"/>
      <c r="Z8" s="54"/>
      <c r="AA8" s="54"/>
    </row>
    <row r="9" ht="18.75" customHeight="1">
      <c r="D9" s="484"/>
      <c r="E9" s="73" t="s">
        <v>288</v>
      </c>
      <c r="F9" s="144"/>
      <c r="G9" s="144"/>
      <c r="H9" s="144"/>
      <c r="I9" s="144"/>
      <c r="J9" s="144"/>
      <c r="K9" s="144"/>
      <c r="L9" s="144"/>
      <c r="M9" s="144"/>
      <c r="N9" s="144"/>
      <c r="O9" s="144"/>
      <c r="P9" s="144"/>
      <c r="Q9" s="144"/>
      <c r="R9" s="72"/>
      <c r="S9" s="156" t="s">
        <v>289</v>
      </c>
      <c r="T9" s="758"/>
    </row>
    <row r="10" ht="33.75" customHeight="1">
      <c r="D10" s="157" t="s">
        <v>85</v>
      </c>
      <c r="E10" s="156" t="s">
        <v>85</v>
      </c>
      <c r="F10" s="156"/>
      <c r="G10" s="156" t="s">
        <v>290</v>
      </c>
      <c r="H10" s="156" t="s">
        <v>85</v>
      </c>
      <c r="I10" s="156"/>
      <c r="J10" s="156" t="s">
        <v>584</v>
      </c>
      <c r="K10" s="156" t="s">
        <v>585</v>
      </c>
      <c r="L10" s="156" t="s">
        <v>85</v>
      </c>
      <c r="M10" s="156"/>
      <c r="N10" s="156" t="s">
        <v>586</v>
      </c>
      <c r="O10" s="156" t="s">
        <v>587</v>
      </c>
      <c r="P10" s="156" t="s">
        <v>588</v>
      </c>
      <c r="Q10" s="156" t="s">
        <v>589</v>
      </c>
      <c r="R10" s="156" t="s">
        <v>590</v>
      </c>
      <c r="S10" s="156"/>
      <c r="T10" s="758"/>
    </row>
    <row r="11" s="57" customFormat="1" ht="15" hidden="1" customHeight="1">
      <c r="A11" s="529"/>
      <c r="D11" s="529" t="s">
        <v>111</v>
      </c>
      <c r="E11" s="529"/>
      <c r="F11" s="529" t="s">
        <v>99</v>
      </c>
      <c r="G11" s="529" t="s">
        <v>87</v>
      </c>
      <c r="H11" s="529"/>
      <c r="I11" s="529" t="s">
        <v>88</v>
      </c>
      <c r="J11" s="529" t="s">
        <v>112</v>
      </c>
      <c r="K11" s="529" t="s">
        <v>89</v>
      </c>
      <c r="L11" s="529"/>
      <c r="M11" s="529" t="s">
        <v>90</v>
      </c>
      <c r="N11" s="529" t="s">
        <v>113</v>
      </c>
      <c r="O11" s="529" t="s">
        <v>150</v>
      </c>
      <c r="P11" s="529" t="s">
        <v>151</v>
      </c>
      <c r="Q11" s="529" t="s">
        <v>152</v>
      </c>
      <c r="R11" s="529" t="s">
        <v>153</v>
      </c>
      <c r="S11" s="529" t="s">
        <v>154</v>
      </c>
      <c r="U11" s="57"/>
      <c r="V11" s="57"/>
      <c r="W11" s="57"/>
    </row>
    <row r="12" s="50" customFormat="1" ht="0.75" customHeight="1">
      <c r="A12" s="751"/>
      <c r="B12" s="56"/>
      <c r="D12" s="529"/>
      <c r="E12" s="124"/>
      <c r="F12" s="124"/>
      <c r="Q12" s="141"/>
      <c r="R12" s="759"/>
      <c r="T12" s="758"/>
      <c r="U12" s="57"/>
      <c r="V12" s="57"/>
      <c r="W12" s="56"/>
      <c r="X12" s="56"/>
      <c r="Y12" s="56"/>
      <c r="Z12" s="56"/>
      <c r="AA12" s="56"/>
    </row>
    <row r="13" s="130" customFormat="1" ht="0.75" customHeight="1">
      <c r="A13" s="755"/>
      <c r="B13" s="54"/>
      <c r="D13" s="529" t="s">
        <v>366</v>
      </c>
      <c r="E13" s="710"/>
      <c r="F13" s="710"/>
      <c r="G13" s="710"/>
      <c r="H13" s="710"/>
      <c r="I13" s="710"/>
      <c r="J13" s="710"/>
      <c r="K13" s="710"/>
      <c r="L13" s="710"/>
      <c r="M13" s="710"/>
      <c r="N13" s="710"/>
      <c r="O13" s="710"/>
      <c r="P13" s="710"/>
      <c r="Q13" s="710"/>
      <c r="R13" s="710"/>
      <c r="T13" s="758"/>
      <c r="U13" s="57"/>
      <c r="V13" s="57"/>
      <c r="W13" s="54"/>
      <c r="X13" s="54"/>
      <c r="Y13" s="54"/>
      <c r="Z13" s="54"/>
      <c r="AA13" s="54"/>
    </row>
    <row r="14" s="63" customFormat="1" ht="15" hidden="1" customHeight="1">
      <c r="A14" s="760" t="s">
        <v>118</v>
      </c>
      <c r="D14" s="761" t="s">
        <v>111</v>
      </c>
      <c r="E14" s="762" t="s">
        <v>107</v>
      </c>
      <c r="F14" s="763"/>
      <c r="G14" s="764"/>
      <c r="H14" s="79" t="str">
        <f>IF(A14="","",INDEX(DIFFERENTIATION_UNMERGE_VD,MATCH(A14,DIFFERENTIATION_ID_DIFF,0)))</f>
        <v xml:space="preserve">Сбыт. Тепловая энергия</v>
      </c>
      <c r="I14" s="79"/>
      <c r="J14" s="79"/>
      <c r="K14" s="79"/>
      <c r="L14" s="79"/>
      <c r="M14" s="79"/>
      <c r="N14" s="79"/>
      <c r="O14" s="79"/>
      <c r="P14" s="79"/>
      <c r="Q14" s="79"/>
      <c r="R14" s="79"/>
      <c r="S14" s="765"/>
      <c r="T14" s="766"/>
      <c r="U14" s="166"/>
      <c r="V14" s="166"/>
      <c r="W14" s="64"/>
      <c r="X14" s="64"/>
      <c r="Y14" s="64"/>
      <c r="Z14" s="64"/>
      <c r="AA14" s="166"/>
      <c r="AB14" s="64"/>
      <c r="AC14" s="767"/>
      <c r="AD14" s="64"/>
      <c r="AE14" s="768" t="s">
        <v>18</v>
      </c>
      <c r="AF14" s="768"/>
      <c r="AG14" s="769" t="s">
        <v>591</v>
      </c>
      <c r="AH14" s="770">
        <v>3</v>
      </c>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64"/>
      <c r="BW14" s="64"/>
      <c r="BX14" s="64"/>
      <c r="BY14" s="64"/>
      <c r="BZ14" s="64"/>
      <c r="CA14" s="64"/>
      <c r="CB14" s="64"/>
      <c r="CC14" s="64"/>
      <c r="CD14" s="64"/>
      <c r="CE14" s="64"/>
    </row>
    <row r="15" s="63" customFormat="1" ht="15" hidden="1" customHeight="1">
      <c r="A15" s="760"/>
      <c r="D15" s="771"/>
      <c r="E15" s="762" t="s">
        <v>546</v>
      </c>
      <c r="F15" s="763"/>
      <c r="G15" s="764"/>
      <c r="H15" s="79" t="str">
        <f>IF(A14="","",INDEX(DIFFERENTIATION_UNMERGE_AREA,MATCH(A14,DIFFERENTIATION_ID_DIFF,0)))</f>
        <v xml:space="preserve">Территория 1</v>
      </c>
      <c r="I15" s="79"/>
      <c r="J15" s="79"/>
      <c r="K15" s="79"/>
      <c r="L15" s="79"/>
      <c r="M15" s="79"/>
      <c r="N15" s="79"/>
      <c r="O15" s="79"/>
      <c r="P15" s="79"/>
      <c r="Q15" s="79"/>
      <c r="R15" s="79"/>
      <c r="S15" s="765"/>
      <c r="T15" s="766"/>
      <c r="U15" s="166"/>
      <c r="V15" s="166"/>
      <c r="W15" s="64"/>
      <c r="X15" s="64"/>
      <c r="Y15" s="64"/>
      <c r="Z15" s="64"/>
      <c r="AA15" s="166"/>
      <c r="AB15" s="64"/>
      <c r="AC15" s="767"/>
      <c r="AD15" s="64"/>
      <c r="AE15" s="768"/>
      <c r="AF15" s="768"/>
      <c r="AG15" s="769"/>
      <c r="AH15" s="770"/>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64"/>
      <c r="BW15" s="64"/>
      <c r="BX15" s="64"/>
      <c r="BY15" s="64"/>
      <c r="BZ15" s="64"/>
      <c r="CA15" s="64"/>
      <c r="CB15" s="64"/>
      <c r="CC15" s="64"/>
      <c r="CD15" s="64"/>
      <c r="CE15" s="64"/>
    </row>
    <row r="16" s="63" customFormat="1" ht="15" hidden="1" customHeight="1">
      <c r="A16" s="760"/>
      <c r="D16" s="771"/>
      <c r="E16" s="762" t="s">
        <v>547</v>
      </c>
      <c r="F16" s="763"/>
      <c r="G16" s="764"/>
      <c r="H16" s="79" t="str">
        <f>IF(A14="","",INDEX(DIFFERENTIATION_UNMERGE_SYSTEM,MATCH(A14,DIFFERENTIATION_ID_DIFF,0)))</f>
        <v xml:space="preserve">без дифференциации</v>
      </c>
      <c r="I16" s="79"/>
      <c r="J16" s="79"/>
      <c r="K16" s="79"/>
      <c r="L16" s="79"/>
      <c r="M16" s="79"/>
      <c r="N16" s="79"/>
      <c r="O16" s="79"/>
      <c r="P16" s="79"/>
      <c r="Q16" s="79"/>
      <c r="R16" s="79"/>
      <c r="S16" s="765"/>
      <c r="T16" s="766"/>
      <c r="U16" s="166"/>
      <c r="V16" s="166"/>
      <c r="W16" s="64"/>
      <c r="X16" s="64"/>
      <c r="Y16" s="64"/>
      <c r="Z16" s="64"/>
      <c r="AA16" s="166"/>
      <c r="AB16" s="64"/>
      <c r="AC16" s="767"/>
      <c r="AD16" s="64"/>
      <c r="AE16" s="768"/>
      <c r="AF16" s="768"/>
      <c r="AG16" s="769"/>
      <c r="AH16" s="770"/>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64"/>
      <c r="BW16" s="64"/>
      <c r="BX16" s="64"/>
      <c r="BY16" s="64"/>
      <c r="BZ16" s="64"/>
      <c r="CA16" s="64"/>
      <c r="CB16" s="64"/>
      <c r="CC16" s="64"/>
      <c r="CD16" s="64"/>
      <c r="CE16" s="64"/>
    </row>
    <row r="17" s="63" customFormat="1" ht="22.5" hidden="1" customHeight="1">
      <c r="A17" s="113"/>
      <c r="B17" s="53"/>
      <c r="C17" s="170"/>
      <c r="D17" s="771"/>
      <c r="E17" s="772" t="s">
        <v>592</v>
      </c>
      <c r="F17" s="772"/>
      <c r="G17" s="772"/>
      <c r="H17" s="772"/>
      <c r="I17" s="772"/>
      <c r="J17" s="772"/>
      <c r="K17" s="772"/>
      <c r="L17" s="772"/>
      <c r="M17" s="772"/>
      <c r="N17" s="772"/>
      <c r="O17" s="772"/>
      <c r="P17" s="772"/>
      <c r="Q17" s="707">
        <f>SUMIF(T18:T19,"i",Q18:Q19)</f>
        <v>0</v>
      </c>
      <c r="R17" s="773"/>
      <c r="S17" s="312" t="s">
        <v>593</v>
      </c>
      <c r="T17" s="766" t="s">
        <v>594</v>
      </c>
      <c r="U17" s="131">
        <v>1</v>
      </c>
      <c r="V17" s="131" t="str">
        <f>INDEX(B_FHD_FLAG_INDEX_1,1,MATCH(A14,B_FHD_FLAG_DIFFERENTIATION,0))</f>
        <v>отсутствует</v>
      </c>
      <c r="W17" s="53"/>
      <c r="X17" s="53"/>
      <c r="Y17" s="53"/>
      <c r="Z17" s="53"/>
      <c r="AA17" s="57"/>
      <c r="AB17" s="53"/>
      <c r="AC17" s="767"/>
      <c r="AD17" s="64"/>
      <c r="AE17" s="53"/>
      <c r="AF17" s="53"/>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3"/>
      <c r="BW17" s="53"/>
      <c r="BX17" s="53"/>
      <c r="BY17" s="53"/>
      <c r="BZ17" s="53"/>
      <c r="CA17" s="53"/>
      <c r="CB17" s="53"/>
      <c r="CC17" s="53"/>
      <c r="CD17" s="53"/>
      <c r="CE17" s="53"/>
    </row>
    <row r="18" s="63" customFormat="1" ht="11.25" hidden="1" customHeight="1">
      <c r="A18" s="131"/>
      <c r="B18" s="57"/>
      <c r="C18" s="57"/>
      <c r="D18" s="771"/>
      <c r="E18" s="351"/>
      <c r="F18" s="351">
        <v>0</v>
      </c>
      <c r="G18" s="351"/>
      <c r="H18" s="351"/>
      <c r="I18" s="351"/>
      <c r="J18" s="351"/>
      <c r="K18" s="351"/>
      <c r="L18" s="351"/>
      <c r="M18" s="351"/>
      <c r="N18" s="351"/>
      <c r="O18" s="351"/>
      <c r="P18" s="351"/>
      <c r="Q18" s="351"/>
      <c r="R18" s="351"/>
      <c r="S18" s="350"/>
      <c r="T18" s="774"/>
      <c r="U18" s="131"/>
      <c r="V18" s="131"/>
      <c r="W18" s="57"/>
      <c r="X18" s="57"/>
      <c r="Y18" s="57"/>
      <c r="Z18" s="57"/>
      <c r="AA18" s="57"/>
      <c r="AB18" s="53"/>
      <c r="AC18" s="767"/>
      <c r="AD18" s="64"/>
      <c r="AE18" s="53"/>
      <c r="AF18" s="53"/>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row>
    <row r="19" s="63" customFormat="1" ht="11.25" hidden="1" customHeight="1">
      <c r="A19" s="113"/>
      <c r="B19" s="53"/>
      <c r="C19" s="170"/>
      <c r="D19" s="771"/>
      <c r="E19" s="620" t="s">
        <v>18</v>
      </c>
      <c r="F19" s="174" t="s">
        <v>18</v>
      </c>
      <c r="G19" s="174" t="s">
        <v>18</v>
      </c>
      <c r="H19" s="179" t="s">
        <v>18</v>
      </c>
      <c r="I19" s="179"/>
      <c r="J19" s="179"/>
      <c r="K19" s="179"/>
      <c r="L19" s="179"/>
      <c r="M19" s="179"/>
      <c r="N19" s="179"/>
      <c r="O19" s="179"/>
      <c r="P19" s="179"/>
      <c r="Q19" s="179"/>
      <c r="R19" s="230"/>
      <c r="S19" s="772"/>
      <c r="T19" s="774"/>
      <c r="U19" s="131"/>
      <c r="V19" s="131"/>
      <c r="W19" s="53"/>
      <c r="X19" s="53"/>
      <c r="Y19" s="53"/>
      <c r="Z19" s="53"/>
      <c r="AA19" s="57"/>
      <c r="AB19" s="53"/>
      <c r="AC19" s="767"/>
      <c r="AD19" s="64"/>
      <c r="AE19" s="53"/>
      <c r="AF19" s="53"/>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3"/>
      <c r="BW19" s="53"/>
      <c r="BX19" s="53"/>
      <c r="BY19" s="53"/>
      <c r="BZ19" s="53"/>
      <c r="CA19" s="53"/>
      <c r="CB19" s="53"/>
      <c r="CC19" s="53"/>
      <c r="CD19" s="53"/>
      <c r="CE19" s="53"/>
    </row>
    <row r="20" s="63" customFormat="1" ht="22.5" hidden="1" customHeight="1">
      <c r="A20" s="113"/>
      <c r="B20" s="53"/>
      <c r="C20" s="170"/>
      <c r="D20" s="771"/>
      <c r="E20" s="772" t="s">
        <v>595</v>
      </c>
      <c r="F20" s="772"/>
      <c r="G20" s="772"/>
      <c r="H20" s="772"/>
      <c r="I20" s="772"/>
      <c r="J20" s="772"/>
      <c r="K20" s="772"/>
      <c r="L20" s="772"/>
      <c r="M20" s="772"/>
      <c r="N20" s="772"/>
      <c r="O20" s="772"/>
      <c r="P20" s="772"/>
      <c r="Q20" s="707">
        <f>SUMIF(T21:T22,"i",Q21:Q22)</f>
        <v>0</v>
      </c>
      <c r="R20" s="773"/>
      <c r="S20" s="312" t="s">
        <v>596</v>
      </c>
      <c r="T20" s="766" t="s">
        <v>594</v>
      </c>
      <c r="U20" s="131">
        <v>2</v>
      </c>
      <c r="V20" s="131" t="str">
        <f>INDEX(B_FHD_FLAG_INDEX_2,1,MATCH(A14,B_FHD_FLAG_DIFFERENTIATION,0))</f>
        <v>отсутствует</v>
      </c>
      <c r="W20" s="53"/>
      <c r="X20" s="53"/>
      <c r="Y20" s="53"/>
      <c r="Z20" s="53"/>
      <c r="AA20" s="57"/>
      <c r="AB20" s="53"/>
      <c r="AC20" s="767"/>
      <c r="AD20" s="64"/>
      <c r="AE20" s="53"/>
      <c r="AF20" s="53"/>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3"/>
      <c r="BW20" s="53"/>
      <c r="BX20" s="53"/>
      <c r="BY20" s="53"/>
      <c r="BZ20" s="53"/>
      <c r="CA20" s="53"/>
      <c r="CB20" s="53"/>
      <c r="CC20" s="53"/>
      <c r="CD20" s="53"/>
      <c r="CE20" s="53"/>
    </row>
    <row r="21" s="63" customFormat="1" ht="11.25" hidden="1" customHeight="1">
      <c r="A21" s="131"/>
      <c r="B21" s="57"/>
      <c r="C21" s="57"/>
      <c r="D21" s="771"/>
      <c r="E21" s="351"/>
      <c r="F21" s="351">
        <v>0</v>
      </c>
      <c r="G21" s="351"/>
      <c r="H21" s="351"/>
      <c r="I21" s="351"/>
      <c r="J21" s="351"/>
      <c r="K21" s="351"/>
      <c r="L21" s="351"/>
      <c r="M21" s="351"/>
      <c r="N21" s="351"/>
      <c r="O21" s="351"/>
      <c r="P21" s="351"/>
      <c r="Q21" s="351"/>
      <c r="R21" s="351"/>
      <c r="S21" s="350"/>
      <c r="T21" s="774"/>
      <c r="U21" s="131"/>
      <c r="V21" s="131"/>
      <c r="W21" s="57"/>
      <c r="X21" s="57"/>
      <c r="Y21" s="57"/>
      <c r="Z21" s="57"/>
      <c r="AA21" s="57"/>
      <c r="AB21" s="53"/>
      <c r="AC21" s="767"/>
      <c r="AD21" s="64"/>
      <c r="AE21" s="53"/>
      <c r="AF21" s="53"/>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row>
    <row r="22" s="63" customFormat="1" ht="11.25" hidden="1" customHeight="1">
      <c r="A22" s="113"/>
      <c r="B22" s="53"/>
      <c r="C22" s="170"/>
      <c r="D22" s="775"/>
      <c r="E22" s="620" t="s">
        <v>18</v>
      </c>
      <c r="F22" s="174" t="s">
        <v>18</v>
      </c>
      <c r="G22" s="174" t="s">
        <v>18</v>
      </c>
      <c r="H22" s="179" t="s">
        <v>18</v>
      </c>
      <c r="I22" s="179"/>
      <c r="J22" s="179"/>
      <c r="K22" s="179"/>
      <c r="L22" s="179"/>
      <c r="M22" s="179"/>
      <c r="N22" s="179"/>
      <c r="O22" s="179"/>
      <c r="P22" s="179"/>
      <c r="Q22" s="179"/>
      <c r="R22" s="230"/>
      <c r="S22" s="772"/>
      <c r="T22" s="774"/>
      <c r="U22" s="131"/>
      <c r="V22" s="131"/>
      <c r="W22" s="53"/>
      <c r="X22" s="53"/>
      <c r="Y22" s="53"/>
      <c r="Z22" s="53"/>
      <c r="AA22" s="57"/>
      <c r="AB22" s="53"/>
      <c r="AC22" s="767"/>
      <c r="AD22" s="64"/>
      <c r="AE22" s="53"/>
      <c r="AF22" s="53"/>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3"/>
      <c r="BW22" s="53"/>
      <c r="BX22" s="53"/>
      <c r="BY22" s="53"/>
      <c r="BZ22" s="53"/>
      <c r="CA22" s="53"/>
      <c r="CB22" s="53"/>
      <c r="CC22" s="53"/>
      <c r="CD22" s="53"/>
      <c r="CE22" s="53"/>
    </row>
    <row r="23" ht="18.75" customHeight="1">
      <c r="D23" s="776"/>
      <c r="E23" s="776"/>
      <c r="F23" s="776"/>
      <c r="G23" s="776"/>
      <c r="H23" s="776"/>
      <c r="I23" s="776"/>
      <c r="J23" s="776"/>
      <c r="K23" s="776"/>
      <c r="L23" s="776"/>
      <c r="M23" s="776"/>
      <c r="N23" s="776"/>
      <c r="O23" s="776"/>
      <c r="P23" s="776"/>
      <c r="Q23" s="776"/>
      <c r="R23" s="776"/>
      <c r="S23" s="776"/>
      <c r="T23" s="758"/>
    </row>
    <row r="24" ht="11.25" customHeight="1">
      <c r="D24" s="50"/>
    </row>
    <row r="25" ht="11.25" customHeight="1">
      <c r="D25" s="139"/>
      <c r="E25" s="139"/>
      <c r="F25" s="139"/>
      <c r="G25" s="185"/>
    </row>
    <row r="27" ht="11.25" customHeight="1">
      <c r="D27" s="395"/>
      <c r="E27" s="777"/>
      <c r="F27" s="777"/>
      <c r="G27" s="777"/>
      <c r="H27" s="777"/>
      <c r="I27" s="777"/>
      <c r="J27" s="777"/>
      <c r="K27" s="777"/>
      <c r="L27" s="777"/>
      <c r="M27" s="777"/>
      <c r="N27" s="777"/>
      <c r="O27" s="777"/>
      <c r="P27" s="777"/>
      <c r="Q27" s="777"/>
      <c r="R27" s="777"/>
    </row>
    <row r="28" ht="11.25" customHeight="1">
      <c r="F28" s="50"/>
      <c r="G28" s="50"/>
    </row>
  </sheetData>
  <sheetProtection autoFilter="0" deleteColumns="0" deleteRows="0" formatCells="1" formatColumns="0" formatRows="0" insertColumns="1" insertHyperlinks="1" insertRows="0" pivotTables="1" selectLockedCells="0" selectUnlockedCells="0" sheet="0" sort="0"/>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D5" zoomScale="90" workbookViewId="0">
      <selection activeCell="A1" activeCellId="0" sqref="A1"/>
    </sheetView>
  </sheetViews>
  <sheetFormatPr defaultColWidth="9.140625" defaultRowHeight="11.25" customHeight="1"/>
  <cols>
    <col customWidth="1" hidden="1" min="1" max="1" style="684" width="10.7109375"/>
    <col customWidth="1" hidden="1" min="2" max="2" style="53" width="16.8515625"/>
    <col customWidth="1" hidden="1" min="3" max="3" style="57" width="5.57421875"/>
    <col customWidth="1" min="4" max="4" style="50" width="3.7109375"/>
    <col customWidth="1" min="5" max="5" style="50" width="7.7109375"/>
    <col customWidth="1" min="6" max="6" style="50" width="56.140625"/>
    <col customWidth="1" min="7" max="7" style="50" width="10.421875"/>
    <col customWidth="1" hidden="1" min="8" max="8" style="50" width="40.7109375"/>
    <col customWidth="1" min="9" max="9" style="50" width="40.7109375"/>
    <col customWidth="1" min="10" max="10" style="50" width="102.8515625"/>
    <col customWidth="1" min="11" max="11" style="53" width="9.7109375"/>
    <col customWidth="1" min="12" max="12" style="57" width="5.28125"/>
    <col customWidth="1" min="13" max="13" style="57" width="3.7109375"/>
    <col customWidth="1" min="14" max="17" style="53" width="3.7109375"/>
    <col customWidth="1" min="18" max="18" style="57" width="10.57421875"/>
    <col customWidth="1" min="19" max="19" style="53" width="34.7109375"/>
    <col customWidth="1" min="20" max="20" style="53" width="9.421875"/>
    <col min="21" max="21" style="685" width="9.140625"/>
    <col min="22" max="26" style="53" width="9.140625"/>
    <col min="27" max="31" style="56" width="9.140625"/>
  </cols>
  <sheetData>
    <row r="1" s="53" customFormat="1" ht="11.25" hidden="1" customHeight="1">
      <c r="A1" s="684"/>
      <c r="C1" s="57"/>
      <c r="D1" s="53"/>
      <c r="H1" s="53">
        <v>4</v>
      </c>
      <c r="I1" s="53">
        <v>4</v>
      </c>
      <c r="L1" s="57"/>
      <c r="M1" s="57"/>
      <c r="R1" s="57"/>
    </row>
    <row r="2" s="53" customFormat="1" ht="22.5" hidden="1" customHeight="1">
      <c r="A2" s="684"/>
      <c r="C2" s="57"/>
      <c r="D2" s="694"/>
      <c r="E2" s="156"/>
      <c r="F2" s="158"/>
      <c r="G2" s="156" t="s">
        <v>534</v>
      </c>
      <c r="H2" s="505"/>
      <c r="I2" s="505"/>
      <c r="J2" s="695" t="s">
        <v>597</v>
      </c>
      <c r="K2" s="688"/>
      <c r="L2" s="57"/>
      <c r="M2" s="57"/>
      <c r="R2" s="57"/>
      <c r="U2" s="685"/>
      <c r="AA2" s="56"/>
      <c r="AB2" s="56"/>
      <c r="AC2" s="56"/>
      <c r="AD2" s="56"/>
      <c r="AE2" s="56"/>
    </row>
    <row r="3" ht="11.25" hidden="1" customHeight="1"/>
    <row r="4" s="56" customFormat="1" ht="11.25" hidden="1" customHeight="1">
      <c r="A4" s="684"/>
      <c r="B4" s="53"/>
      <c r="C4" s="57"/>
      <c r="D4" s="56"/>
      <c r="J4" s="56">
        <v>4</v>
      </c>
      <c r="K4" s="53"/>
      <c r="L4" s="57"/>
      <c r="M4" s="57"/>
      <c r="N4" s="53"/>
      <c r="O4" s="53"/>
      <c r="P4" s="53"/>
      <c r="Q4" s="53"/>
      <c r="R4" s="57"/>
      <c r="S4" s="53"/>
      <c r="T4" s="53"/>
      <c r="U4" s="685"/>
      <c r="V4" s="53"/>
      <c r="W4" s="53"/>
      <c r="X4" s="53"/>
      <c r="Y4" s="53"/>
      <c r="Z4" s="53"/>
    </row>
    <row r="6" ht="22.5" customHeight="1">
      <c r="E6" s="297" t="s">
        <v>598</v>
      </c>
      <c r="F6" s="297"/>
      <c r="G6" s="297"/>
      <c r="H6" s="297"/>
      <c r="I6" s="297"/>
      <c r="J6" s="241"/>
    </row>
    <row r="7" ht="24" customHeight="1">
      <c r="E7" s="302" t="str">
        <f>IF(org=0,"Не определено",org)</f>
        <v xml:space="preserve">филиал ПАО "ОГК-2" - Адлерская ТЭС</v>
      </c>
      <c r="F7" s="302"/>
      <c r="G7" s="302"/>
      <c r="H7" s="302"/>
      <c r="I7" s="302"/>
    </row>
    <row r="8" ht="11.25" customHeight="1">
      <c r="E8" s="698"/>
      <c r="F8" s="698"/>
      <c r="G8" s="698"/>
      <c r="H8" s="698"/>
      <c r="I8" s="698"/>
    </row>
    <row r="9" s="57" customFormat="1" ht="0.75" customHeight="1">
      <c r="A9" s="529"/>
      <c r="D9" s="57"/>
      <c r="H9" s="699"/>
      <c r="I9" s="699" t="s">
        <v>118</v>
      </c>
    </row>
    <row r="10" ht="11.25" customHeight="1">
      <c r="E10" s="700"/>
      <c r="F10" s="701" t="s">
        <v>107</v>
      </c>
      <c r="G10" s="702"/>
      <c r="H10" s="703" t="str">
        <f>IF(H9="","",INDEX(DIFFERENTIATION_UNMERGE_VD,MATCH(H9,DIFFERENTIATION_ID_DIFF,0)))</f>
        <v/>
      </c>
      <c r="I10" s="703" t="str">
        <f>IF(I9="","",INDEX(DIFFERENTIATION_UNMERGE_VD,MATCH(I9,DIFFERENTIATION_ID_DIFF,0)))</f>
        <v xml:space="preserve">Сбыт. Тепловая энергия</v>
      </c>
      <c r="J10" s="156"/>
    </row>
    <row r="11" ht="11.25" customHeight="1">
      <c r="E11" s="700"/>
      <c r="F11" s="701" t="s">
        <v>546</v>
      </c>
      <c r="G11" s="702"/>
      <c r="H11" s="703" t="str">
        <f>IF(H9="","",INDEX(DIFFERENTIATION_UNMERGE_AREA,MATCH(H9,DIFFERENTIATION_ID_DIFF,0)))</f>
        <v/>
      </c>
      <c r="I11" s="703" t="str">
        <f>IF(I9="","",INDEX(DIFFERENTIATION_UNMERGE_AREA,MATCH(I9,DIFFERENTIATION_ID_DIFF,0)))</f>
        <v xml:space="preserve">Территория 1</v>
      </c>
      <c r="J11" s="156"/>
    </row>
    <row r="12" ht="11.25" hidden="1" customHeight="1">
      <c r="E12" s="778"/>
      <c r="F12" s="779" t="s">
        <v>547</v>
      </c>
      <c r="G12" s="780"/>
      <c r="H12" s="781" t="str">
        <f>IF(H9="","",INDEX(DIFFERENTIATION_UNMERGE_SYSTEM,MATCH(H9,DIFFERENTIATION_ID_DIFF,0)))</f>
        <v/>
      </c>
      <c r="I12" s="781" t="str">
        <f>IF(I9="","",INDEX(DIFFERENTIATION_UNMERGE_SYSTEM,MATCH(I9,DIFFERENTIATION_ID_DIFF,0)))</f>
        <v xml:space="preserve">без дифференциации</v>
      </c>
      <c r="J12" s="156"/>
    </row>
    <row r="13" ht="11.25" customHeight="1">
      <c r="E13" s="704" t="s">
        <v>288</v>
      </c>
      <c r="F13" s="705"/>
      <c r="G13" s="705"/>
      <c r="H13" s="701"/>
      <c r="I13" s="701"/>
      <c r="J13" s="156"/>
    </row>
    <row r="14" ht="22.5" customHeight="1">
      <c r="E14" s="156" t="s">
        <v>85</v>
      </c>
      <c r="F14" s="156" t="s">
        <v>290</v>
      </c>
      <c r="G14" s="156" t="s">
        <v>548</v>
      </c>
      <c r="H14" s="156" t="s">
        <v>291</v>
      </c>
      <c r="I14" s="156" t="s">
        <v>291</v>
      </c>
      <c r="J14" s="156"/>
    </row>
    <row r="15" ht="18.75" customHeight="1">
      <c r="D15" s="124"/>
      <c r="E15" s="782" t="s">
        <v>111</v>
      </c>
      <c r="F15" s="312" t="s">
        <v>599</v>
      </c>
      <c r="G15" s="156" t="s">
        <v>534</v>
      </c>
      <c r="H15" s="706"/>
      <c r="I15" s="706"/>
      <c r="J15" s="484" t="s">
        <v>600</v>
      </c>
      <c r="K15" s="688" t="s">
        <v>601</v>
      </c>
    </row>
    <row r="16" ht="33.75" customHeight="1">
      <c r="D16" s="124"/>
      <c r="E16" s="782" t="s">
        <v>99</v>
      </c>
      <c r="F16" s="312" t="s">
        <v>602</v>
      </c>
      <c r="G16" s="156" t="s">
        <v>534</v>
      </c>
      <c r="H16" s="707">
        <f>SUM(H17,H20:H32)</f>
        <v>0</v>
      </c>
      <c r="I16" s="707">
        <f>SUM(I17,I20:I32)</f>
        <v>0</v>
      </c>
      <c r="J16" s="484" t="s">
        <v>603</v>
      </c>
      <c r="K16" s="688" t="s">
        <v>601</v>
      </c>
    </row>
    <row r="17" ht="18.75" customHeight="1">
      <c r="D17" s="124"/>
      <c r="E17" s="783" t="s">
        <v>604</v>
      </c>
      <c r="F17" s="655" t="s">
        <v>605</v>
      </c>
      <c r="G17" s="72" t="s">
        <v>534</v>
      </c>
      <c r="H17" s="706"/>
      <c r="I17" s="706"/>
      <c r="J17" s="484" t="s">
        <v>606</v>
      </c>
      <c r="K17" s="688"/>
    </row>
    <row r="18" ht="22.5" customHeight="1">
      <c r="D18" s="124"/>
      <c r="E18" s="783" t="s">
        <v>607</v>
      </c>
      <c r="F18" s="722" t="s">
        <v>608</v>
      </c>
      <c r="G18" s="72" t="s">
        <v>534</v>
      </c>
      <c r="H18" s="706"/>
      <c r="I18" s="706"/>
      <c r="J18" s="484" t="s">
        <v>609</v>
      </c>
      <c r="K18" s="688"/>
    </row>
    <row r="19" ht="33.75" customHeight="1">
      <c r="D19" s="124"/>
      <c r="E19" s="783" t="s">
        <v>610</v>
      </c>
      <c r="F19" s="722" t="s">
        <v>611</v>
      </c>
      <c r="G19" s="72" t="s">
        <v>534</v>
      </c>
      <c r="H19" s="706"/>
      <c r="I19" s="706"/>
      <c r="J19" s="484"/>
      <c r="K19" s="688"/>
    </row>
    <row r="20" ht="18.75" customHeight="1">
      <c r="D20" s="124"/>
      <c r="E20" s="783" t="s">
        <v>295</v>
      </c>
      <c r="F20" s="655" t="s">
        <v>612</v>
      </c>
      <c r="G20" s="72" t="s">
        <v>534</v>
      </c>
      <c r="H20" s="706"/>
      <c r="I20" s="706"/>
      <c r="J20" s="484" t="s">
        <v>613</v>
      </c>
      <c r="K20" s="688"/>
    </row>
    <row r="21" ht="18.75" customHeight="1">
      <c r="D21" s="124"/>
      <c r="E21" s="783" t="s">
        <v>614</v>
      </c>
      <c r="F21" s="722" t="s">
        <v>615</v>
      </c>
      <c r="G21" s="72" t="s">
        <v>534</v>
      </c>
      <c r="H21" s="706"/>
      <c r="I21" s="706"/>
      <c r="J21" s="484"/>
      <c r="K21" s="688"/>
    </row>
    <row r="22" ht="18.75" customHeight="1">
      <c r="D22" s="124"/>
      <c r="E22" s="783" t="s">
        <v>616</v>
      </c>
      <c r="F22" s="722" t="s">
        <v>617</v>
      </c>
      <c r="G22" s="72" t="s">
        <v>534</v>
      </c>
      <c r="H22" s="706"/>
      <c r="I22" s="706"/>
      <c r="J22" s="484"/>
      <c r="K22" s="688"/>
    </row>
    <row r="23" ht="22.5" customHeight="1">
      <c r="D23" s="124"/>
      <c r="E23" s="783" t="s">
        <v>298</v>
      </c>
      <c r="F23" s="655" t="s">
        <v>618</v>
      </c>
      <c r="G23" s="72" t="s">
        <v>534</v>
      </c>
      <c r="H23" s="706"/>
      <c r="I23" s="706"/>
      <c r="J23" s="484" t="s">
        <v>619</v>
      </c>
      <c r="K23" s="688"/>
    </row>
    <row r="24" ht="18.75" customHeight="1">
      <c r="D24" s="124"/>
      <c r="E24" s="783" t="s">
        <v>620</v>
      </c>
      <c r="F24" s="722" t="s">
        <v>621</v>
      </c>
      <c r="G24" s="72" t="s">
        <v>534</v>
      </c>
      <c r="H24" s="706"/>
      <c r="I24" s="706"/>
      <c r="J24" s="484"/>
      <c r="K24" s="688"/>
    </row>
    <row r="25" ht="33.75" customHeight="1">
      <c r="D25" s="124"/>
      <c r="E25" s="783" t="s">
        <v>622</v>
      </c>
      <c r="F25" s="722" t="s">
        <v>623</v>
      </c>
      <c r="G25" s="72" t="s">
        <v>534</v>
      </c>
      <c r="H25" s="706"/>
      <c r="I25" s="706"/>
      <c r="J25" s="484"/>
      <c r="K25" s="688"/>
    </row>
    <row r="26" ht="22.5" customHeight="1">
      <c r="D26" s="124"/>
      <c r="E26" s="783" t="s">
        <v>624</v>
      </c>
      <c r="F26" s="655" t="s">
        <v>625</v>
      </c>
      <c r="G26" s="72" t="s">
        <v>534</v>
      </c>
      <c r="H26" s="706"/>
      <c r="I26" s="706"/>
      <c r="J26" s="484" t="s">
        <v>626</v>
      </c>
      <c r="K26" s="688"/>
    </row>
    <row r="27" ht="18.75" customHeight="1">
      <c r="D27" s="124"/>
      <c r="E27" s="784" t="s">
        <v>627</v>
      </c>
      <c r="F27" s="722" t="s">
        <v>628</v>
      </c>
      <c r="G27" s="72" t="s">
        <v>534</v>
      </c>
      <c r="H27" s="785"/>
      <c r="I27" s="785"/>
      <c r="J27" s="484"/>
      <c r="K27" s="688"/>
    </row>
    <row r="28" ht="18.75" customHeight="1">
      <c r="D28" s="124"/>
      <c r="E28" s="784" t="s">
        <v>629</v>
      </c>
      <c r="F28" s="722" t="s">
        <v>630</v>
      </c>
      <c r="G28" s="72" t="s">
        <v>534</v>
      </c>
      <c r="H28" s="785"/>
      <c r="I28" s="785"/>
      <c r="J28" s="484"/>
      <c r="K28" s="688"/>
    </row>
    <row r="29" ht="18.75" customHeight="1">
      <c r="D29" s="124"/>
      <c r="E29" s="784" t="s">
        <v>631</v>
      </c>
      <c r="F29" s="655" t="s">
        <v>632</v>
      </c>
      <c r="G29" s="72" t="s">
        <v>534</v>
      </c>
      <c r="H29" s="785"/>
      <c r="I29" s="785"/>
      <c r="J29" s="484"/>
      <c r="K29" s="688"/>
    </row>
    <row r="30" ht="18.75" customHeight="1">
      <c r="D30" s="124"/>
      <c r="E30" s="784" t="s">
        <v>633</v>
      </c>
      <c r="F30" s="655" t="s">
        <v>634</v>
      </c>
      <c r="G30" s="72" t="s">
        <v>534</v>
      </c>
      <c r="H30" s="785"/>
      <c r="I30" s="785"/>
      <c r="J30" s="484"/>
      <c r="K30" s="688"/>
    </row>
    <row r="31" ht="18.75" customHeight="1">
      <c r="D31" s="124"/>
      <c r="E31" s="784" t="s">
        <v>635</v>
      </c>
      <c r="F31" s="655" t="s">
        <v>636</v>
      </c>
      <c r="G31" s="72" t="s">
        <v>534</v>
      </c>
      <c r="H31" s="785"/>
      <c r="I31" s="785"/>
      <c r="J31" s="484"/>
      <c r="K31" s="688"/>
    </row>
    <row r="32" s="53" customFormat="1" ht="22.5" customHeight="1">
      <c r="A32" s="684"/>
      <c r="C32" s="57"/>
      <c r="D32" s="124"/>
      <c r="E32" s="784" t="s">
        <v>637</v>
      </c>
      <c r="F32" s="655" t="s">
        <v>638</v>
      </c>
      <c r="G32" s="306" t="s">
        <v>534</v>
      </c>
      <c r="H32" s="729">
        <f>SUM(H33:H34)</f>
        <v>0</v>
      </c>
      <c r="I32" s="729">
        <f>SUM(I33:I34)</f>
        <v>0</v>
      </c>
      <c r="J32" s="484" t="s">
        <v>639</v>
      </c>
      <c r="K32" s="688"/>
      <c r="L32" s="57"/>
      <c r="M32" s="57"/>
      <c r="R32" s="57"/>
      <c r="U32" s="685"/>
      <c r="AA32" s="56"/>
      <c r="AB32" s="56"/>
      <c r="AC32" s="56"/>
      <c r="AD32" s="56"/>
      <c r="AE32" s="56"/>
    </row>
    <row r="33" s="57" customFormat="1" ht="0.75" customHeight="1">
      <c r="A33" s="529"/>
      <c r="D33" s="529"/>
      <c r="E33" s="157" t="str">
        <f>E32&amp;".0"</f>
        <v>2.8.0</v>
      </c>
      <c r="F33" s="730"/>
      <c r="G33" s="157"/>
      <c r="H33" s="731"/>
      <c r="I33" s="731"/>
      <c r="J33" s="732"/>
    </row>
    <row r="34" s="53" customFormat="1" ht="18.75" customHeight="1">
      <c r="A34" s="684"/>
      <c r="C34" s="57"/>
      <c r="D34" s="127"/>
      <c r="E34" s="719"/>
      <c r="F34" s="786" t="s">
        <v>559</v>
      </c>
      <c r="G34" s="720"/>
      <c r="H34" s="721"/>
      <c r="I34" s="721"/>
      <c r="J34" s="547" t="s">
        <v>640</v>
      </c>
      <c r="K34" s="688"/>
      <c r="L34" s="57"/>
      <c r="M34" s="57"/>
      <c r="R34" s="57"/>
      <c r="U34" s="685"/>
      <c r="AA34" s="56"/>
      <c r="AB34" s="56"/>
      <c r="AC34" s="56"/>
      <c r="AD34" s="56"/>
      <c r="AE34" s="56"/>
    </row>
    <row r="35" ht="56.25" customHeight="1">
      <c r="D35" s="124"/>
      <c r="E35" s="784" t="s">
        <v>641</v>
      </c>
      <c r="F35" s="655" t="s">
        <v>642</v>
      </c>
      <c r="G35" s="72" t="s">
        <v>534</v>
      </c>
      <c r="H35" s="785"/>
      <c r="I35" s="785"/>
      <c r="J35" s="484" t="s">
        <v>643</v>
      </c>
      <c r="K35" s="688"/>
    </row>
    <row r="36" s="53" customFormat="1" ht="22.5" customHeight="1">
      <c r="A36" s="724" t="s">
        <v>560</v>
      </c>
      <c r="C36" s="57"/>
      <c r="D36" s="124"/>
      <c r="E36" s="783" t="s">
        <v>87</v>
      </c>
      <c r="F36" s="312" t="s">
        <v>644</v>
      </c>
      <c r="G36" s="72" t="s">
        <v>534</v>
      </c>
      <c r="H36" s="706"/>
      <c r="I36" s="706"/>
      <c r="J36" s="484" t="s">
        <v>645</v>
      </c>
      <c r="K36" s="688"/>
      <c r="L36" s="57"/>
      <c r="M36" s="57"/>
      <c r="R36" s="57"/>
      <c r="U36" s="685"/>
      <c r="AA36" s="56"/>
      <c r="AB36" s="56"/>
      <c r="AC36" s="56"/>
      <c r="AD36" s="56"/>
      <c r="AE36" s="56"/>
    </row>
    <row r="37" s="53" customFormat="1" ht="22.5" customHeight="1">
      <c r="A37" s="724"/>
      <c r="C37" s="57"/>
      <c r="D37" s="124"/>
      <c r="E37" s="783" t="s">
        <v>314</v>
      </c>
      <c r="F37" s="655" t="s">
        <v>646</v>
      </c>
      <c r="G37" s="72"/>
      <c r="H37" s="706"/>
      <c r="I37" s="706"/>
      <c r="J37" s="484"/>
      <c r="K37" s="688"/>
      <c r="L37" s="57"/>
      <c r="M37" s="57"/>
      <c r="R37" s="57"/>
      <c r="U37" s="685"/>
      <c r="AA37" s="56"/>
      <c r="AB37" s="56"/>
      <c r="AC37" s="56"/>
      <c r="AD37" s="56"/>
      <c r="AE37" s="56"/>
    </row>
    <row r="38" s="53" customFormat="1" ht="18.75" customHeight="1">
      <c r="A38" s="684"/>
      <c r="C38" s="57"/>
      <c r="D38" s="725"/>
      <c r="E38" s="783" t="s">
        <v>88</v>
      </c>
      <c r="F38" s="312" t="s">
        <v>647</v>
      </c>
      <c r="G38" s="72" t="s">
        <v>534</v>
      </c>
      <c r="H38" s="706"/>
      <c r="I38" s="706"/>
      <c r="J38" s="484" t="s">
        <v>648</v>
      </c>
      <c r="K38" s="688"/>
      <c r="L38" s="57"/>
      <c r="M38" s="57"/>
      <c r="R38" s="57"/>
      <c r="U38" s="685"/>
      <c r="AA38" s="56"/>
      <c r="AB38" s="56"/>
      <c r="AC38" s="56"/>
      <c r="AD38" s="56"/>
      <c r="AE38" s="56"/>
    </row>
    <row r="39" s="53" customFormat="1" ht="22.5" customHeight="1">
      <c r="A39" s="684"/>
      <c r="C39" s="57"/>
      <c r="D39" s="725"/>
      <c r="E39" s="783" t="s">
        <v>649</v>
      </c>
      <c r="F39" s="655" t="s">
        <v>650</v>
      </c>
      <c r="G39" s="72" t="s">
        <v>534</v>
      </c>
      <c r="H39" s="706"/>
      <c r="I39" s="706"/>
      <c r="J39" s="484" t="s">
        <v>651</v>
      </c>
      <c r="K39" s="688"/>
      <c r="L39" s="57"/>
      <c r="M39" s="57"/>
      <c r="R39" s="57"/>
      <c r="U39" s="685"/>
      <c r="AA39" s="56"/>
      <c r="AB39" s="56"/>
      <c r="AC39" s="56"/>
      <c r="AD39" s="56"/>
      <c r="AE39" s="56"/>
    </row>
    <row r="40" s="53" customFormat="1" ht="22.5" customHeight="1">
      <c r="A40" s="684"/>
      <c r="C40" s="57"/>
      <c r="D40" s="124"/>
      <c r="E40" s="783" t="s">
        <v>652</v>
      </c>
      <c r="F40" s="722" t="s">
        <v>653</v>
      </c>
      <c r="G40" s="72" t="s">
        <v>534</v>
      </c>
      <c r="H40" s="706"/>
      <c r="I40" s="706"/>
      <c r="J40" s="484" t="s">
        <v>654</v>
      </c>
      <c r="K40" s="688"/>
      <c r="L40" s="57"/>
      <c r="M40" s="57"/>
      <c r="R40" s="57"/>
      <c r="U40" s="685"/>
      <c r="AA40" s="56"/>
      <c r="AB40" s="56"/>
      <c r="AC40" s="56"/>
      <c r="AD40" s="56"/>
      <c r="AE40" s="56"/>
    </row>
    <row r="41" s="53" customFormat="1" ht="22.5" customHeight="1">
      <c r="A41" s="684"/>
      <c r="C41" s="57"/>
      <c r="D41" s="124"/>
      <c r="E41" s="783" t="s">
        <v>655</v>
      </c>
      <c r="F41" s="722" t="s">
        <v>656</v>
      </c>
      <c r="G41" s="72" t="s">
        <v>534</v>
      </c>
      <c r="H41" s="706"/>
      <c r="I41" s="706"/>
      <c r="J41" s="484" t="s">
        <v>657</v>
      </c>
      <c r="K41" s="688"/>
      <c r="L41" s="57"/>
      <c r="M41" s="57"/>
      <c r="R41" s="57"/>
      <c r="U41" s="685"/>
      <c r="AA41" s="56"/>
      <c r="AB41" s="56"/>
      <c r="AC41" s="56"/>
      <c r="AD41" s="56"/>
      <c r="AE41" s="56"/>
    </row>
    <row r="42" s="53" customFormat="1" ht="22.5" customHeight="1">
      <c r="A42" s="684"/>
      <c r="C42" s="57"/>
      <c r="D42" s="124"/>
      <c r="E42" s="783" t="s">
        <v>658</v>
      </c>
      <c r="F42" s="722" t="s">
        <v>659</v>
      </c>
      <c r="G42" s="72" t="s">
        <v>534</v>
      </c>
      <c r="H42" s="706"/>
      <c r="I42" s="706"/>
      <c r="J42" s="484" t="s">
        <v>660</v>
      </c>
      <c r="K42" s="688"/>
      <c r="L42" s="57"/>
      <c r="M42" s="57"/>
      <c r="R42" s="57"/>
      <c r="U42" s="685"/>
      <c r="AA42" s="56"/>
      <c r="AB42" s="56"/>
      <c r="AC42" s="56"/>
      <c r="AD42" s="56"/>
      <c r="AE42" s="56"/>
    </row>
    <row r="43" s="53" customFormat="1" ht="33.75" customHeight="1">
      <c r="A43" s="684"/>
      <c r="C43" s="57" t="s">
        <v>570</v>
      </c>
      <c r="D43" s="124"/>
      <c r="E43" s="783" t="s">
        <v>112</v>
      </c>
      <c r="F43" s="312" t="s">
        <v>661</v>
      </c>
      <c r="G43" s="156" t="s">
        <v>662</v>
      </c>
      <c r="H43" s="735"/>
      <c r="I43" s="735"/>
      <c r="J43" s="484" t="s">
        <v>663</v>
      </c>
      <c r="K43" s="688"/>
      <c r="L43" s="57"/>
      <c r="M43" s="57"/>
      <c r="R43" s="57"/>
      <c r="U43" s="685"/>
      <c r="AA43" s="56"/>
      <c r="AB43" s="56"/>
      <c r="AC43" s="56"/>
      <c r="AD43" s="56"/>
      <c r="AE43" s="56"/>
    </row>
    <row r="44" s="53" customFormat="1" ht="22.5" customHeight="1">
      <c r="A44" s="684"/>
      <c r="C44" s="57"/>
      <c r="D44" s="124"/>
      <c r="E44" s="783" t="s">
        <v>89</v>
      </c>
      <c r="F44" s="312" t="s">
        <v>664</v>
      </c>
      <c r="G44" s="72" t="s">
        <v>665</v>
      </c>
      <c r="H44" s="696"/>
      <c r="I44" s="696"/>
      <c r="J44" s="484" t="s">
        <v>666</v>
      </c>
      <c r="K44" s="688"/>
      <c r="L44" s="57"/>
      <c r="M44" s="57"/>
      <c r="R44" s="57"/>
      <c r="U44" s="685"/>
      <c r="AA44" s="56"/>
      <c r="AB44" s="56"/>
      <c r="AC44" s="56"/>
      <c r="AD44" s="56"/>
      <c r="AE44" s="56"/>
    </row>
    <row r="45" s="53" customFormat="1" ht="22.5" customHeight="1">
      <c r="A45" s="684"/>
      <c r="C45" s="57"/>
      <c r="D45" s="124"/>
      <c r="E45" s="783" t="s">
        <v>90</v>
      </c>
      <c r="F45" s="312" t="s">
        <v>667</v>
      </c>
      <c r="G45" s="72" t="s">
        <v>668</v>
      </c>
      <c r="H45" s="696"/>
      <c r="I45" s="696"/>
      <c r="J45" s="484" t="s">
        <v>669</v>
      </c>
      <c r="K45" s="688"/>
      <c r="L45" s="57"/>
      <c r="M45" s="57"/>
      <c r="R45" s="57"/>
      <c r="U45" s="685"/>
      <c r="AA45" s="56"/>
      <c r="AB45" s="56"/>
      <c r="AC45" s="56"/>
      <c r="AD45" s="56"/>
      <c r="AE45" s="56"/>
    </row>
    <row r="46" s="53" customFormat="1" ht="18.75" customHeight="1">
      <c r="A46" s="684"/>
      <c r="C46" s="57"/>
      <c r="D46" s="124"/>
      <c r="E46" s="783" t="s">
        <v>113</v>
      </c>
      <c r="F46" s="312" t="s">
        <v>670</v>
      </c>
      <c r="G46" s="72" t="s">
        <v>572</v>
      </c>
      <c r="H46" s="726"/>
      <c r="I46" s="726"/>
      <c r="J46" s="484"/>
      <c r="K46" s="688"/>
      <c r="L46" s="57"/>
      <c r="M46" s="57"/>
      <c r="R46" s="57"/>
      <c r="U46" s="685"/>
      <c r="AA46" s="56"/>
      <c r="AB46" s="56"/>
      <c r="AC46" s="56"/>
      <c r="AD46" s="56"/>
      <c r="AE46" s="56"/>
    </row>
    <row r="47" ht="11.25" customHeight="1">
      <c r="D47" s="124"/>
    </row>
    <row r="48" ht="26.25" customHeight="1">
      <c r="D48" s="124"/>
      <c r="E48" s="475"/>
      <c r="F48" s="572"/>
      <c r="G48" s="572"/>
      <c r="H48" s="572"/>
      <c r="I48" s="572"/>
      <c r="J48" s="572"/>
    </row>
    <row r="49" s="130" customFormat="1" ht="37.5" customHeight="1">
      <c r="A49" s="684"/>
      <c r="B49" s="57"/>
      <c r="C49" s="57"/>
      <c r="D49" s="130"/>
      <c r="F49" s="572"/>
      <c r="G49" s="572"/>
      <c r="H49" s="572"/>
      <c r="I49" s="572"/>
      <c r="J49" s="572"/>
      <c r="K49" s="53"/>
      <c r="L49" s="57"/>
      <c r="M49" s="57"/>
      <c r="N49" s="53"/>
      <c r="O49" s="53"/>
      <c r="P49" s="53"/>
      <c r="Q49" s="53"/>
      <c r="R49" s="57"/>
      <c r="S49" s="53"/>
      <c r="T49" s="53"/>
      <c r="U49" s="685"/>
      <c r="V49" s="53"/>
      <c r="W49" s="53"/>
      <c r="X49" s="53"/>
      <c r="Y49" s="53"/>
      <c r="Z49" s="53"/>
      <c r="AA49" s="56"/>
      <c r="AB49" s="54"/>
      <c r="AC49" s="54"/>
      <c r="AD49" s="54"/>
      <c r="AE49" s="54"/>
    </row>
    <row r="50" s="130" customFormat="1" ht="11.25" customHeight="1">
      <c r="A50" s="684"/>
      <c r="B50" s="57"/>
      <c r="C50" s="57"/>
      <c r="D50" s="130"/>
      <c r="K50" s="53"/>
      <c r="L50" s="57"/>
      <c r="M50" s="57"/>
      <c r="N50" s="53"/>
      <c r="O50" s="53"/>
      <c r="P50" s="53"/>
      <c r="Q50" s="53"/>
      <c r="R50" s="57"/>
      <c r="S50" s="53"/>
      <c r="T50" s="53"/>
      <c r="U50" s="685"/>
      <c r="V50" s="53"/>
      <c r="W50" s="53"/>
      <c r="X50" s="53"/>
      <c r="Y50" s="53"/>
      <c r="Z50" s="53"/>
      <c r="AA50" s="56"/>
      <c r="AB50" s="54"/>
      <c r="AC50" s="54"/>
      <c r="AD50" s="54"/>
      <c r="AE50" s="54"/>
    </row>
    <row r="51" s="130" customFormat="1" ht="11.25" customHeight="1">
      <c r="A51" s="684"/>
      <c r="B51" s="57"/>
      <c r="C51" s="57"/>
      <c r="D51" s="130"/>
      <c r="K51" s="53"/>
      <c r="L51" s="57"/>
      <c r="M51" s="57"/>
      <c r="N51" s="53"/>
      <c r="O51" s="53"/>
      <c r="P51" s="53"/>
      <c r="Q51" s="53"/>
      <c r="R51" s="57"/>
      <c r="S51" s="53"/>
      <c r="T51" s="53"/>
      <c r="U51" s="685"/>
      <c r="V51" s="53"/>
      <c r="W51" s="53"/>
      <c r="X51" s="53"/>
      <c r="Y51" s="53"/>
      <c r="Z51" s="53"/>
      <c r="AA51" s="56"/>
      <c r="AB51" s="54"/>
      <c r="AC51" s="54"/>
      <c r="AD51" s="54"/>
      <c r="AE51" s="54"/>
    </row>
    <row r="52" s="130" customFormat="1" ht="11.25" customHeight="1">
      <c r="A52" s="684"/>
      <c r="B52" s="57"/>
      <c r="C52" s="57"/>
      <c r="D52" s="130"/>
      <c r="H52" s="54"/>
      <c r="I52" s="54"/>
      <c r="K52" s="53"/>
      <c r="L52" s="57"/>
      <c r="M52" s="57"/>
      <c r="N52" s="53"/>
      <c r="O52" s="53"/>
      <c r="P52" s="53"/>
      <c r="Q52" s="53"/>
      <c r="R52" s="57"/>
      <c r="S52" s="53"/>
      <c r="T52" s="53"/>
      <c r="U52" s="685"/>
      <c r="V52" s="53"/>
      <c r="W52" s="53"/>
      <c r="X52" s="53"/>
      <c r="Y52" s="53"/>
      <c r="Z52" s="53"/>
      <c r="AA52" s="56"/>
      <c r="AB52" s="54"/>
      <c r="AC52" s="54"/>
      <c r="AD52" s="54"/>
      <c r="AE52" s="54"/>
    </row>
    <row r="53" s="130" customFormat="1" ht="11.25" customHeight="1">
      <c r="A53" s="684"/>
      <c r="B53" s="57"/>
      <c r="C53" s="57"/>
      <c r="D53" s="130"/>
      <c r="K53" s="53"/>
      <c r="L53" s="57"/>
      <c r="M53" s="57"/>
      <c r="N53" s="53"/>
      <c r="O53" s="53"/>
      <c r="P53" s="53"/>
      <c r="Q53" s="53"/>
      <c r="R53" s="57"/>
      <c r="S53" s="53"/>
      <c r="T53" s="53"/>
      <c r="U53" s="685"/>
      <c r="V53" s="53"/>
      <c r="W53" s="53"/>
      <c r="X53" s="53"/>
      <c r="Y53" s="53"/>
      <c r="Z53" s="53"/>
      <c r="AA53" s="56"/>
      <c r="AB53" s="54"/>
      <c r="AC53" s="54"/>
      <c r="AD53" s="54"/>
      <c r="AE53" s="54"/>
    </row>
    <row r="54" s="130" customFormat="1" ht="11.25" customHeight="1">
      <c r="A54" s="684"/>
      <c r="B54" s="57"/>
      <c r="C54" s="57"/>
      <c r="D54" s="130"/>
      <c r="K54" s="53"/>
      <c r="L54" s="57"/>
      <c r="M54" s="57"/>
      <c r="N54" s="53"/>
      <c r="O54" s="53"/>
      <c r="P54" s="53"/>
      <c r="Q54" s="53"/>
      <c r="R54" s="57"/>
      <c r="S54" s="53"/>
      <c r="T54" s="53"/>
      <c r="U54" s="685"/>
      <c r="V54" s="53"/>
      <c r="W54" s="53"/>
      <c r="X54" s="53"/>
      <c r="Y54" s="53"/>
      <c r="Z54" s="53"/>
      <c r="AA54" s="56"/>
      <c r="AB54" s="54"/>
      <c r="AC54" s="54"/>
      <c r="AD54" s="54"/>
      <c r="AE54" s="54"/>
    </row>
    <row r="55" s="130" customFormat="1" ht="11.25" customHeight="1">
      <c r="A55" s="684"/>
      <c r="B55" s="57"/>
      <c r="C55" s="57"/>
      <c r="D55" s="130"/>
      <c r="K55" s="53"/>
      <c r="L55" s="57"/>
      <c r="M55" s="57"/>
      <c r="N55" s="53"/>
      <c r="O55" s="53"/>
      <c r="P55" s="53"/>
      <c r="Q55" s="53"/>
      <c r="R55" s="57"/>
      <c r="S55" s="53"/>
      <c r="T55" s="53"/>
      <c r="U55" s="685"/>
      <c r="V55" s="53"/>
      <c r="W55" s="53"/>
      <c r="X55" s="53"/>
      <c r="Y55" s="53"/>
      <c r="Z55" s="53"/>
      <c r="AA55" s="56"/>
      <c r="AB55" s="54"/>
      <c r="AC55" s="54"/>
      <c r="AD55" s="54"/>
      <c r="AE55" s="54"/>
    </row>
    <row r="56" s="130" customFormat="1" ht="11.25" customHeight="1">
      <c r="A56" s="684"/>
      <c r="B56" s="57"/>
      <c r="C56" s="57"/>
      <c r="D56" s="130"/>
      <c r="K56" s="53"/>
      <c r="L56" s="57"/>
      <c r="M56" s="57"/>
      <c r="N56" s="53"/>
      <c r="O56" s="53"/>
      <c r="P56" s="53"/>
      <c r="Q56" s="53"/>
      <c r="R56" s="57"/>
      <c r="S56" s="53"/>
      <c r="T56" s="53"/>
      <c r="U56" s="685"/>
      <c r="V56" s="53"/>
      <c r="W56" s="53"/>
      <c r="X56" s="53"/>
      <c r="Y56" s="53"/>
      <c r="Z56" s="53"/>
      <c r="AA56" s="56"/>
      <c r="AB56" s="54"/>
      <c r="AC56" s="54"/>
      <c r="AD56" s="54"/>
      <c r="AE56" s="54"/>
    </row>
    <row r="57" s="130" customFormat="1" ht="11.25" customHeight="1">
      <c r="A57" s="684"/>
      <c r="B57" s="57"/>
      <c r="C57" s="57"/>
      <c r="D57" s="130"/>
      <c r="K57" s="53"/>
      <c r="L57" s="57"/>
      <c r="M57" s="57"/>
      <c r="N57" s="53"/>
      <c r="O57" s="53"/>
      <c r="P57" s="53"/>
      <c r="Q57" s="53"/>
      <c r="R57" s="57"/>
      <c r="S57" s="53"/>
      <c r="T57" s="53"/>
      <c r="U57" s="685"/>
      <c r="V57" s="53"/>
      <c r="W57" s="53"/>
      <c r="X57" s="53"/>
      <c r="Y57" s="53"/>
      <c r="Z57" s="53"/>
      <c r="AA57" s="56"/>
      <c r="AB57" s="54"/>
      <c r="AC57" s="54"/>
      <c r="AD57" s="54"/>
      <c r="AE57" s="54"/>
    </row>
    <row r="58" s="130" customFormat="1" ht="11.25" customHeight="1">
      <c r="A58" s="684"/>
      <c r="B58" s="57"/>
      <c r="C58" s="57"/>
      <c r="D58" s="130"/>
      <c r="K58" s="53"/>
      <c r="L58" s="57"/>
      <c r="M58" s="57"/>
      <c r="N58" s="53"/>
      <c r="O58" s="53"/>
      <c r="P58" s="53"/>
      <c r="Q58" s="53"/>
      <c r="R58" s="57"/>
      <c r="S58" s="53"/>
      <c r="T58" s="53"/>
      <c r="U58" s="685"/>
      <c r="V58" s="53"/>
      <c r="W58" s="53"/>
      <c r="X58" s="53"/>
      <c r="Y58" s="53"/>
      <c r="Z58" s="53"/>
      <c r="AA58" s="56"/>
      <c r="AB58" s="54"/>
      <c r="AC58" s="54"/>
      <c r="AD58" s="54"/>
      <c r="AE58" s="54"/>
    </row>
    <row r="59" s="130" customFormat="1" ht="11.25" customHeight="1">
      <c r="A59" s="684"/>
      <c r="B59" s="57"/>
      <c r="C59" s="57"/>
      <c r="D59" s="130"/>
      <c r="K59" s="53"/>
      <c r="L59" s="57"/>
      <c r="M59" s="57"/>
      <c r="N59" s="53"/>
      <c r="O59" s="53"/>
      <c r="P59" s="53"/>
      <c r="Q59" s="53"/>
      <c r="R59" s="57"/>
      <c r="S59" s="53"/>
      <c r="T59" s="53"/>
      <c r="U59" s="685"/>
      <c r="V59" s="53"/>
      <c r="W59" s="53"/>
      <c r="X59" s="53"/>
      <c r="Y59" s="53"/>
      <c r="Z59" s="53"/>
      <c r="AA59" s="56"/>
      <c r="AB59" s="54"/>
      <c r="AC59" s="54"/>
      <c r="AD59" s="54"/>
      <c r="AE59" s="54"/>
    </row>
    <row r="60" s="130" customFormat="1" ht="11.25" customHeight="1">
      <c r="A60" s="684"/>
      <c r="B60" s="57"/>
      <c r="C60" s="57"/>
      <c r="D60" s="130"/>
      <c r="K60" s="53"/>
      <c r="L60" s="57"/>
      <c r="M60" s="57"/>
      <c r="N60" s="53"/>
      <c r="O60" s="53"/>
      <c r="P60" s="53"/>
      <c r="Q60" s="53"/>
      <c r="R60" s="57"/>
      <c r="S60" s="53"/>
      <c r="T60" s="53"/>
      <c r="U60" s="685"/>
      <c r="V60" s="53"/>
      <c r="W60" s="53"/>
      <c r="X60" s="53"/>
      <c r="Y60" s="53"/>
      <c r="Z60" s="53"/>
      <c r="AA60" s="56"/>
      <c r="AB60" s="54"/>
      <c r="AC60" s="54"/>
      <c r="AD60" s="54"/>
      <c r="AE60" s="54"/>
    </row>
    <row r="61" s="130" customFormat="1" ht="11.25" customHeight="1">
      <c r="A61" s="684"/>
      <c r="B61" s="57"/>
      <c r="C61" s="57"/>
      <c r="D61" s="130"/>
      <c r="K61" s="53"/>
      <c r="L61" s="57"/>
      <c r="M61" s="57"/>
      <c r="N61" s="53"/>
      <c r="O61" s="53"/>
      <c r="P61" s="53"/>
      <c r="Q61" s="53"/>
      <c r="R61" s="57"/>
      <c r="S61" s="53"/>
      <c r="T61" s="53"/>
      <c r="U61" s="685"/>
      <c r="V61" s="53"/>
      <c r="W61" s="53"/>
      <c r="X61" s="53"/>
      <c r="Y61" s="53"/>
      <c r="Z61" s="53"/>
      <c r="AA61" s="56"/>
      <c r="AB61" s="54"/>
      <c r="AC61" s="54"/>
      <c r="AD61" s="54"/>
      <c r="AE61" s="54"/>
    </row>
    <row r="62" s="130" customFormat="1" ht="11.25" customHeight="1">
      <c r="A62" s="684"/>
      <c r="B62" s="57"/>
      <c r="C62" s="57"/>
      <c r="D62" s="130"/>
      <c r="K62" s="53"/>
      <c r="L62" s="57"/>
      <c r="M62" s="57"/>
      <c r="N62" s="53"/>
      <c r="O62" s="53"/>
      <c r="P62" s="53"/>
      <c r="Q62" s="53"/>
      <c r="R62" s="57"/>
      <c r="S62" s="53"/>
      <c r="T62" s="53"/>
      <c r="U62" s="685"/>
      <c r="V62" s="53"/>
      <c r="W62" s="53"/>
      <c r="X62" s="53"/>
      <c r="Y62" s="53"/>
      <c r="Z62" s="53"/>
      <c r="AA62" s="56"/>
      <c r="AB62" s="54"/>
      <c r="AC62" s="54"/>
      <c r="AD62" s="54"/>
      <c r="AE62" s="54"/>
    </row>
    <row r="63" s="130" customFormat="1" ht="11.25" customHeight="1">
      <c r="A63" s="684"/>
      <c r="B63" s="57"/>
      <c r="C63" s="57"/>
      <c r="D63" s="130"/>
      <c r="K63" s="53"/>
      <c r="L63" s="57"/>
      <c r="M63" s="57"/>
      <c r="N63" s="53"/>
      <c r="O63" s="53"/>
      <c r="P63" s="53"/>
      <c r="Q63" s="53"/>
      <c r="R63" s="57"/>
      <c r="S63" s="53"/>
      <c r="T63" s="53"/>
      <c r="U63" s="685"/>
      <c r="V63" s="53"/>
      <c r="W63" s="53"/>
      <c r="X63" s="53"/>
      <c r="Y63" s="53"/>
      <c r="Z63" s="53"/>
      <c r="AA63" s="56"/>
      <c r="AB63" s="54"/>
      <c r="AC63" s="54"/>
      <c r="AD63" s="54"/>
      <c r="AE63" s="54"/>
    </row>
    <row r="64" s="130" customFormat="1" ht="11.25" customHeight="1">
      <c r="A64" s="684"/>
      <c r="B64" s="57"/>
      <c r="C64" s="57"/>
      <c r="D64" s="130"/>
      <c r="K64" s="53"/>
      <c r="L64" s="57"/>
      <c r="M64" s="57"/>
      <c r="N64" s="53"/>
      <c r="O64" s="53"/>
      <c r="P64" s="53"/>
      <c r="Q64" s="53"/>
      <c r="R64" s="57"/>
      <c r="S64" s="53"/>
      <c r="T64" s="53"/>
      <c r="U64" s="685"/>
      <c r="V64" s="53"/>
      <c r="W64" s="53"/>
      <c r="X64" s="53"/>
      <c r="Y64" s="53"/>
      <c r="Z64" s="53"/>
      <c r="AA64" s="56"/>
      <c r="AB64" s="54"/>
      <c r="AC64" s="54"/>
      <c r="AD64" s="54"/>
      <c r="AE64" s="54"/>
    </row>
    <row r="65" s="130" customFormat="1" ht="11.25" customHeight="1">
      <c r="A65" s="684"/>
      <c r="B65" s="57"/>
      <c r="C65" s="57"/>
      <c r="D65" s="130"/>
      <c r="K65" s="53"/>
      <c r="L65" s="57"/>
      <c r="M65" s="57"/>
      <c r="N65" s="53"/>
      <c r="O65" s="53"/>
      <c r="P65" s="53"/>
      <c r="Q65" s="53"/>
      <c r="R65" s="57"/>
      <c r="S65" s="53"/>
      <c r="T65" s="53"/>
      <c r="U65" s="685"/>
      <c r="V65" s="53"/>
      <c r="W65" s="53"/>
      <c r="X65" s="53"/>
      <c r="Y65" s="53"/>
      <c r="Z65" s="53"/>
      <c r="AA65" s="56"/>
      <c r="AB65" s="54"/>
      <c r="AC65" s="54"/>
      <c r="AD65" s="54"/>
      <c r="AE65" s="54"/>
    </row>
    <row r="66" s="130" customFormat="1" ht="11.25" customHeight="1">
      <c r="A66" s="684"/>
      <c r="B66" s="57"/>
      <c r="C66" s="57"/>
      <c r="D66" s="130"/>
      <c r="K66" s="53"/>
      <c r="L66" s="57"/>
      <c r="M66" s="57"/>
      <c r="N66" s="53"/>
      <c r="O66" s="53"/>
      <c r="P66" s="53"/>
      <c r="Q66" s="53"/>
      <c r="R66" s="57"/>
      <c r="S66" s="53"/>
      <c r="T66" s="53"/>
      <c r="U66" s="685"/>
      <c r="V66" s="53"/>
      <c r="W66" s="53"/>
      <c r="X66" s="53"/>
      <c r="Y66" s="53"/>
      <c r="Z66" s="53"/>
      <c r="AA66" s="56"/>
      <c r="AB66" s="54"/>
      <c r="AC66" s="54"/>
      <c r="AD66" s="54"/>
      <c r="AE66" s="54"/>
    </row>
    <row r="67" s="130" customFormat="1" ht="11.25" customHeight="1">
      <c r="A67" s="684"/>
      <c r="B67" s="57"/>
      <c r="C67" s="57"/>
      <c r="D67" s="130"/>
      <c r="K67" s="53"/>
      <c r="L67" s="57"/>
      <c r="M67" s="57"/>
      <c r="N67" s="53"/>
      <c r="O67" s="53"/>
      <c r="P67" s="53"/>
      <c r="Q67" s="53"/>
      <c r="R67" s="57"/>
      <c r="S67" s="53"/>
      <c r="T67" s="53"/>
      <c r="U67" s="685"/>
      <c r="V67" s="53"/>
      <c r="W67" s="53"/>
      <c r="X67" s="53"/>
      <c r="Y67" s="53"/>
      <c r="Z67" s="53"/>
      <c r="AA67" s="56"/>
      <c r="AB67" s="54"/>
      <c r="AC67" s="54"/>
      <c r="AD67" s="54"/>
      <c r="AE67" s="54"/>
    </row>
    <row r="68" s="130" customFormat="1" ht="11.25" customHeight="1">
      <c r="A68" s="684"/>
      <c r="B68" s="57"/>
      <c r="C68" s="57"/>
      <c r="D68" s="130"/>
      <c r="K68" s="53"/>
      <c r="L68" s="57"/>
      <c r="M68" s="57"/>
      <c r="N68" s="53"/>
      <c r="O68" s="53"/>
      <c r="P68" s="53"/>
      <c r="Q68" s="53"/>
      <c r="R68" s="57"/>
      <c r="S68" s="53"/>
      <c r="T68" s="53"/>
      <c r="U68" s="685"/>
      <c r="V68" s="53"/>
      <c r="W68" s="53"/>
      <c r="X68" s="53"/>
      <c r="Y68" s="53"/>
      <c r="Z68" s="53"/>
      <c r="AA68" s="56"/>
      <c r="AB68" s="54"/>
      <c r="AC68" s="54"/>
      <c r="AD68" s="54"/>
      <c r="AE68" s="54"/>
    </row>
    <row r="69" s="130" customFormat="1" ht="11.25" customHeight="1">
      <c r="A69" s="684"/>
      <c r="B69" s="57"/>
      <c r="C69" s="57"/>
      <c r="D69" s="130"/>
      <c r="K69" s="53"/>
      <c r="L69" s="57"/>
      <c r="M69" s="57"/>
      <c r="N69" s="53"/>
      <c r="O69" s="53"/>
      <c r="P69" s="53"/>
      <c r="Q69" s="53"/>
      <c r="R69" s="57"/>
      <c r="S69" s="53"/>
      <c r="T69" s="53"/>
      <c r="U69" s="685"/>
      <c r="V69" s="53"/>
      <c r="W69" s="53"/>
      <c r="X69" s="53"/>
      <c r="Y69" s="53"/>
      <c r="Z69" s="53"/>
      <c r="AA69" s="56"/>
      <c r="AB69" s="54"/>
      <c r="AC69" s="54"/>
      <c r="AD69" s="54"/>
      <c r="AE69" s="54"/>
    </row>
    <row r="70" s="130" customFormat="1" ht="11.25" customHeight="1">
      <c r="A70" s="684"/>
      <c r="B70" s="57"/>
      <c r="C70" s="57"/>
      <c r="D70" s="130"/>
      <c r="K70" s="53"/>
      <c r="L70" s="57"/>
      <c r="M70" s="57"/>
      <c r="N70" s="53"/>
      <c r="O70" s="53"/>
      <c r="P70" s="53"/>
      <c r="Q70" s="53"/>
      <c r="R70" s="57"/>
      <c r="S70" s="53"/>
      <c r="T70" s="53"/>
      <c r="U70" s="685"/>
      <c r="V70" s="53"/>
      <c r="W70" s="53"/>
      <c r="X70" s="53"/>
      <c r="Y70" s="53"/>
      <c r="Z70" s="53"/>
      <c r="AA70" s="56"/>
      <c r="AB70" s="54"/>
      <c r="AC70" s="54"/>
      <c r="AD70" s="54"/>
      <c r="AE70" s="54"/>
    </row>
    <row r="71" s="130" customFormat="1" ht="11.25" customHeight="1">
      <c r="A71" s="684"/>
      <c r="B71" s="57"/>
      <c r="C71" s="57"/>
      <c r="D71" s="130"/>
      <c r="K71" s="53"/>
      <c r="L71" s="57"/>
      <c r="M71" s="57"/>
      <c r="N71" s="53"/>
      <c r="O71" s="53"/>
      <c r="P71" s="53"/>
      <c r="Q71" s="53"/>
      <c r="R71" s="57"/>
      <c r="S71" s="53"/>
      <c r="T71" s="53"/>
      <c r="U71" s="685"/>
      <c r="V71" s="53"/>
      <c r="W71" s="53"/>
      <c r="X71" s="53"/>
      <c r="Y71" s="53"/>
      <c r="Z71" s="53"/>
      <c r="AA71" s="56"/>
      <c r="AB71" s="54"/>
      <c r="AC71" s="54"/>
      <c r="AD71" s="54"/>
      <c r="AE71" s="54"/>
    </row>
    <row r="72" s="130" customFormat="1" ht="11.25" customHeight="1">
      <c r="A72" s="684"/>
      <c r="B72" s="57"/>
      <c r="C72" s="57"/>
      <c r="D72" s="130"/>
      <c r="K72" s="53"/>
      <c r="L72" s="57"/>
      <c r="M72" s="57"/>
      <c r="N72" s="53"/>
      <c r="O72" s="53"/>
      <c r="P72" s="53"/>
      <c r="Q72" s="53"/>
      <c r="R72" s="57"/>
      <c r="S72" s="53"/>
      <c r="T72" s="53"/>
      <c r="U72" s="685"/>
      <c r="V72" s="53"/>
      <c r="W72" s="53"/>
      <c r="X72" s="53"/>
      <c r="Y72" s="53"/>
      <c r="Z72" s="53"/>
      <c r="AA72" s="56"/>
      <c r="AB72" s="54"/>
      <c r="AC72" s="54"/>
      <c r="AD72" s="54"/>
      <c r="AE72" s="54"/>
    </row>
    <row r="73" s="130" customFormat="1" ht="11.25" customHeight="1">
      <c r="A73" s="684"/>
      <c r="B73" s="57"/>
      <c r="C73" s="57"/>
      <c r="D73" s="130"/>
      <c r="K73" s="53"/>
      <c r="L73" s="57"/>
      <c r="M73" s="57"/>
      <c r="N73" s="53"/>
      <c r="O73" s="53"/>
      <c r="P73" s="53"/>
      <c r="Q73" s="53"/>
      <c r="R73" s="57"/>
      <c r="S73" s="53"/>
      <c r="T73" s="53"/>
      <c r="U73" s="685"/>
      <c r="V73" s="53"/>
      <c r="W73" s="53"/>
      <c r="X73" s="53"/>
      <c r="Y73" s="53"/>
      <c r="Z73" s="53"/>
      <c r="AA73" s="56"/>
      <c r="AB73" s="54"/>
      <c r="AC73" s="54"/>
      <c r="AD73" s="54"/>
      <c r="AE73" s="54"/>
    </row>
    <row r="74" s="130" customFormat="1" ht="11.25" customHeight="1">
      <c r="A74" s="684"/>
      <c r="B74" s="57"/>
      <c r="C74" s="57"/>
      <c r="D74" s="130"/>
      <c r="K74" s="53"/>
      <c r="L74" s="57"/>
      <c r="M74" s="57"/>
      <c r="N74" s="53"/>
      <c r="O74" s="53"/>
      <c r="P74" s="53"/>
      <c r="Q74" s="53"/>
      <c r="R74" s="57"/>
      <c r="S74" s="53"/>
      <c r="T74" s="53"/>
      <c r="U74" s="685"/>
      <c r="V74" s="53"/>
      <c r="W74" s="53"/>
      <c r="X74" s="53"/>
      <c r="Y74" s="53"/>
      <c r="Z74" s="53"/>
      <c r="AA74" s="56"/>
      <c r="AB74" s="54"/>
      <c r="AC74" s="54"/>
      <c r="AD74" s="54"/>
      <c r="AE74" s="54"/>
    </row>
    <row r="75" s="130" customFormat="1" ht="11.25" customHeight="1">
      <c r="A75" s="684"/>
      <c r="B75" s="57"/>
      <c r="C75" s="57"/>
      <c r="D75" s="130"/>
      <c r="K75" s="53"/>
      <c r="L75" s="57"/>
      <c r="M75" s="57"/>
      <c r="N75" s="53"/>
      <c r="O75" s="53"/>
      <c r="P75" s="53"/>
      <c r="Q75" s="53"/>
      <c r="R75" s="57"/>
      <c r="S75" s="53"/>
      <c r="T75" s="53"/>
      <c r="U75" s="685"/>
      <c r="V75" s="53"/>
      <c r="W75" s="53"/>
      <c r="X75" s="53"/>
      <c r="Y75" s="53"/>
      <c r="Z75" s="53"/>
      <c r="AA75" s="56"/>
      <c r="AB75" s="54"/>
      <c r="AC75" s="54"/>
      <c r="AD75" s="54"/>
      <c r="AE75" s="54"/>
    </row>
    <row r="76" s="130" customFormat="1" ht="11.25" customHeight="1">
      <c r="A76" s="684"/>
      <c r="B76" s="57"/>
      <c r="C76" s="57"/>
      <c r="D76" s="130"/>
      <c r="K76" s="53"/>
      <c r="L76" s="57"/>
      <c r="M76" s="57"/>
      <c r="N76" s="53"/>
      <c r="O76" s="53"/>
      <c r="P76" s="53"/>
      <c r="Q76" s="53"/>
      <c r="R76" s="57"/>
      <c r="S76" s="53"/>
      <c r="T76" s="53"/>
      <c r="U76" s="685"/>
      <c r="V76" s="53"/>
      <c r="W76" s="53"/>
      <c r="X76" s="53"/>
      <c r="Y76" s="53"/>
      <c r="Z76" s="53"/>
      <c r="AA76" s="56"/>
      <c r="AB76" s="54"/>
      <c r="AC76" s="54"/>
      <c r="AD76" s="54"/>
      <c r="AE76" s="54"/>
    </row>
    <row r="77" s="130" customFormat="1" ht="11.25" customHeight="1">
      <c r="A77" s="684"/>
      <c r="B77" s="57"/>
      <c r="C77" s="57"/>
      <c r="D77" s="130"/>
      <c r="K77" s="53"/>
      <c r="L77" s="57"/>
      <c r="M77" s="57"/>
      <c r="N77" s="53"/>
      <c r="O77" s="53"/>
      <c r="P77" s="53"/>
      <c r="Q77" s="53"/>
      <c r="R77" s="57"/>
      <c r="S77" s="53"/>
      <c r="T77" s="53"/>
      <c r="U77" s="685"/>
      <c r="V77" s="53"/>
      <c r="W77" s="53"/>
      <c r="X77" s="53"/>
      <c r="Y77" s="53"/>
      <c r="Z77" s="53"/>
      <c r="AA77" s="56"/>
      <c r="AB77" s="54"/>
      <c r="AC77" s="54"/>
      <c r="AD77" s="54"/>
      <c r="AE77" s="54"/>
    </row>
    <row r="78" s="130" customFormat="1" ht="11.25" customHeight="1">
      <c r="A78" s="684"/>
      <c r="B78" s="57"/>
      <c r="C78" s="57"/>
      <c r="D78" s="130"/>
      <c r="K78" s="53"/>
      <c r="L78" s="57"/>
      <c r="M78" s="57"/>
      <c r="N78" s="53"/>
      <c r="O78" s="53"/>
      <c r="P78" s="53"/>
      <c r="Q78" s="53"/>
      <c r="R78" s="57"/>
      <c r="S78" s="53"/>
      <c r="T78" s="53"/>
      <c r="U78" s="685"/>
      <c r="V78" s="53"/>
      <c r="W78" s="53"/>
      <c r="X78" s="53"/>
      <c r="Y78" s="53"/>
      <c r="Z78" s="53"/>
      <c r="AA78" s="56"/>
      <c r="AB78" s="54"/>
      <c r="AC78" s="54"/>
      <c r="AD78" s="54"/>
      <c r="AE78" s="54"/>
    </row>
    <row r="79" s="130" customFormat="1" ht="11.25" customHeight="1">
      <c r="A79" s="684"/>
      <c r="B79" s="57"/>
      <c r="C79" s="57"/>
      <c r="D79" s="130"/>
      <c r="K79" s="53"/>
      <c r="L79" s="57"/>
      <c r="M79" s="57"/>
      <c r="N79" s="53"/>
      <c r="O79" s="53"/>
      <c r="P79" s="53"/>
      <c r="Q79" s="53"/>
      <c r="R79" s="57"/>
      <c r="S79" s="53"/>
      <c r="T79" s="53"/>
      <c r="U79" s="685"/>
      <c r="V79" s="53"/>
      <c r="W79" s="53"/>
      <c r="X79" s="53"/>
      <c r="Y79" s="53"/>
      <c r="Z79" s="53"/>
      <c r="AA79" s="56"/>
      <c r="AB79" s="54"/>
      <c r="AC79" s="54"/>
      <c r="AD79" s="54"/>
      <c r="AE79" s="54"/>
    </row>
    <row r="80" s="130" customFormat="1" ht="11.25" customHeight="1">
      <c r="A80" s="684"/>
      <c r="B80" s="57"/>
      <c r="C80" s="57"/>
      <c r="D80" s="130"/>
      <c r="K80" s="53"/>
      <c r="L80" s="57"/>
      <c r="M80" s="57"/>
      <c r="N80" s="53"/>
      <c r="O80" s="53"/>
      <c r="P80" s="53"/>
      <c r="Q80" s="53"/>
      <c r="R80" s="57"/>
      <c r="S80" s="53"/>
      <c r="T80" s="53"/>
      <c r="U80" s="685"/>
      <c r="V80" s="53"/>
      <c r="W80" s="53"/>
      <c r="X80" s="53"/>
      <c r="Y80" s="53"/>
      <c r="Z80" s="53"/>
      <c r="AA80" s="56"/>
      <c r="AB80" s="54"/>
      <c r="AC80" s="54"/>
      <c r="AD80" s="54"/>
      <c r="AE80" s="54"/>
    </row>
    <row r="81" s="130" customFormat="1" ht="11.25" customHeight="1">
      <c r="A81" s="684"/>
      <c r="B81" s="57"/>
      <c r="C81" s="57"/>
      <c r="D81" s="130"/>
      <c r="K81" s="53"/>
      <c r="L81" s="57"/>
      <c r="M81" s="57"/>
      <c r="N81" s="53"/>
      <c r="O81" s="53"/>
      <c r="P81" s="53"/>
      <c r="Q81" s="53"/>
      <c r="R81" s="57"/>
      <c r="S81" s="53"/>
      <c r="T81" s="53"/>
      <c r="U81" s="685"/>
      <c r="V81" s="53"/>
      <c r="W81" s="53"/>
      <c r="X81" s="53"/>
      <c r="Y81" s="53"/>
      <c r="Z81" s="53"/>
      <c r="AA81" s="56"/>
      <c r="AB81" s="54"/>
      <c r="AC81" s="54"/>
      <c r="AD81" s="54"/>
      <c r="AE81" s="54"/>
    </row>
    <row r="82" s="130" customFormat="1" ht="11.25" customHeight="1">
      <c r="A82" s="684"/>
      <c r="B82" s="57"/>
      <c r="C82" s="57"/>
      <c r="D82" s="130"/>
      <c r="K82" s="53"/>
      <c r="L82" s="57"/>
      <c r="M82" s="57"/>
      <c r="N82" s="53"/>
      <c r="O82" s="53"/>
      <c r="P82" s="53"/>
      <c r="Q82" s="53"/>
      <c r="R82" s="57"/>
      <c r="S82" s="53"/>
      <c r="T82" s="53"/>
      <c r="U82" s="685"/>
      <c r="V82" s="53"/>
      <c r="W82" s="53"/>
      <c r="X82" s="53"/>
      <c r="Y82" s="53"/>
      <c r="Z82" s="53"/>
      <c r="AA82" s="56"/>
      <c r="AB82" s="54"/>
      <c r="AC82" s="54"/>
      <c r="AD82" s="54"/>
      <c r="AE82" s="54"/>
    </row>
    <row r="83" s="130" customFormat="1" ht="11.25" customHeight="1">
      <c r="A83" s="684"/>
      <c r="B83" s="57"/>
      <c r="C83" s="57"/>
      <c r="D83" s="130"/>
      <c r="K83" s="53"/>
      <c r="L83" s="57"/>
      <c r="M83" s="57"/>
      <c r="N83" s="53"/>
      <c r="O83" s="53"/>
      <c r="P83" s="53"/>
      <c r="Q83" s="53"/>
      <c r="R83" s="57"/>
      <c r="S83" s="53"/>
      <c r="T83" s="53"/>
      <c r="U83" s="685"/>
      <c r="V83" s="53"/>
      <c r="W83" s="53"/>
      <c r="X83" s="53"/>
      <c r="Y83" s="53"/>
      <c r="Z83" s="53"/>
      <c r="AA83" s="56"/>
      <c r="AB83" s="54"/>
      <c r="AC83" s="54"/>
      <c r="AD83" s="54"/>
      <c r="AE83" s="54"/>
    </row>
    <row r="84" s="130" customFormat="1" ht="11.25" customHeight="1">
      <c r="A84" s="684"/>
      <c r="B84" s="57"/>
      <c r="C84" s="57"/>
      <c r="D84" s="130"/>
      <c r="K84" s="53"/>
      <c r="L84" s="57"/>
      <c r="M84" s="57"/>
      <c r="N84" s="53"/>
      <c r="O84" s="53"/>
      <c r="P84" s="53"/>
      <c r="Q84" s="53"/>
      <c r="R84" s="57"/>
      <c r="S84" s="53"/>
      <c r="T84" s="53"/>
      <c r="U84" s="685"/>
      <c r="V84" s="53"/>
      <c r="W84" s="53"/>
      <c r="X84" s="53"/>
      <c r="Y84" s="53"/>
      <c r="Z84" s="53"/>
      <c r="AA84" s="56"/>
      <c r="AB84" s="54"/>
      <c r="AC84" s="54"/>
      <c r="AD84" s="54"/>
      <c r="AE84" s="54"/>
    </row>
    <row r="85" s="130" customFormat="1" ht="11.25" customHeight="1">
      <c r="A85" s="684"/>
      <c r="B85" s="57"/>
      <c r="C85" s="57"/>
      <c r="D85" s="130"/>
      <c r="K85" s="53"/>
      <c r="L85" s="57"/>
      <c r="M85" s="57"/>
      <c r="N85" s="53"/>
      <c r="O85" s="53"/>
      <c r="P85" s="53"/>
      <c r="Q85" s="53"/>
      <c r="R85" s="57"/>
      <c r="S85" s="53"/>
      <c r="T85" s="53"/>
      <c r="U85" s="685"/>
      <c r="V85" s="53"/>
      <c r="W85" s="53"/>
      <c r="X85" s="53"/>
      <c r="Y85" s="53"/>
      <c r="Z85" s="53"/>
      <c r="AA85" s="56"/>
      <c r="AB85" s="54"/>
      <c r="AC85" s="54"/>
      <c r="AD85" s="54"/>
      <c r="AE85" s="54"/>
    </row>
    <row r="86" s="130" customFormat="1" ht="11.25" customHeight="1">
      <c r="A86" s="684"/>
      <c r="B86" s="57"/>
      <c r="C86" s="57"/>
      <c r="D86" s="130"/>
      <c r="K86" s="53"/>
      <c r="L86" s="57"/>
      <c r="M86" s="57"/>
      <c r="N86" s="53"/>
      <c r="O86" s="53"/>
      <c r="P86" s="53"/>
      <c r="Q86" s="53"/>
      <c r="R86" s="57"/>
      <c r="S86" s="53"/>
      <c r="T86" s="53"/>
      <c r="U86" s="685"/>
      <c r="V86" s="53"/>
      <c r="W86" s="53"/>
      <c r="X86" s="53"/>
      <c r="Y86" s="53"/>
      <c r="Z86" s="53"/>
      <c r="AA86" s="56"/>
      <c r="AB86" s="54"/>
      <c r="AC86" s="54"/>
      <c r="AD86" s="54"/>
      <c r="AE86" s="54"/>
    </row>
    <row r="87" s="130" customFormat="1" ht="11.25" customHeight="1">
      <c r="A87" s="684"/>
      <c r="B87" s="57"/>
      <c r="C87" s="57"/>
      <c r="D87" s="130"/>
      <c r="K87" s="53"/>
      <c r="L87" s="57"/>
      <c r="M87" s="57"/>
      <c r="N87" s="53"/>
      <c r="O87" s="53"/>
      <c r="P87" s="53"/>
      <c r="Q87" s="53"/>
      <c r="R87" s="57"/>
      <c r="S87" s="53"/>
      <c r="T87" s="53"/>
      <c r="U87" s="685"/>
      <c r="V87" s="53"/>
      <c r="W87" s="53"/>
      <c r="X87" s="53"/>
      <c r="Y87" s="53"/>
      <c r="Z87" s="53"/>
      <c r="AA87" s="56"/>
      <c r="AB87" s="54"/>
      <c r="AC87" s="54"/>
      <c r="AD87" s="54"/>
      <c r="AE87" s="54"/>
    </row>
    <row r="88" s="130" customFormat="1" ht="11.25" customHeight="1">
      <c r="A88" s="684"/>
      <c r="B88" s="57"/>
      <c r="C88" s="57"/>
      <c r="D88" s="130"/>
      <c r="K88" s="53"/>
      <c r="L88" s="57"/>
      <c r="M88" s="57"/>
      <c r="N88" s="53"/>
      <c r="O88" s="53"/>
      <c r="P88" s="53"/>
      <c r="Q88" s="53"/>
      <c r="R88" s="57"/>
      <c r="S88" s="53"/>
      <c r="T88" s="53"/>
      <c r="U88" s="685"/>
      <c r="V88" s="53"/>
      <c r="W88" s="53"/>
      <c r="X88" s="53"/>
      <c r="Y88" s="53"/>
      <c r="Z88" s="53"/>
      <c r="AA88" s="56"/>
      <c r="AB88" s="54"/>
      <c r="AC88" s="54"/>
      <c r="AD88" s="54"/>
      <c r="AE88" s="54"/>
    </row>
    <row r="89" s="130" customFormat="1" ht="11.25" customHeight="1">
      <c r="A89" s="684"/>
      <c r="B89" s="57"/>
      <c r="C89" s="57"/>
      <c r="D89" s="130"/>
      <c r="K89" s="53"/>
      <c r="L89" s="57"/>
      <c r="M89" s="57"/>
      <c r="N89" s="53"/>
      <c r="O89" s="53"/>
      <c r="P89" s="53"/>
      <c r="Q89" s="53"/>
      <c r="R89" s="57"/>
      <c r="S89" s="53"/>
      <c r="T89" s="53"/>
      <c r="U89" s="685"/>
      <c r="V89" s="53"/>
      <c r="W89" s="53"/>
      <c r="X89" s="53"/>
      <c r="Y89" s="53"/>
      <c r="Z89" s="53"/>
      <c r="AA89" s="56"/>
      <c r="AB89" s="54"/>
      <c r="AC89" s="54"/>
      <c r="AD89" s="54"/>
      <c r="AE89" s="54"/>
    </row>
    <row r="90" s="130" customFormat="1" ht="11.25" customHeight="1">
      <c r="A90" s="684"/>
      <c r="B90" s="57"/>
      <c r="C90" s="57"/>
      <c r="D90" s="130"/>
      <c r="K90" s="53"/>
      <c r="L90" s="57"/>
      <c r="M90" s="57"/>
      <c r="N90" s="53"/>
      <c r="O90" s="53"/>
      <c r="P90" s="53"/>
      <c r="Q90" s="53"/>
      <c r="R90" s="57"/>
      <c r="S90" s="53"/>
      <c r="T90" s="53"/>
      <c r="U90" s="685"/>
      <c r="V90" s="53"/>
      <c r="W90" s="53"/>
      <c r="X90" s="53"/>
      <c r="Y90" s="53"/>
      <c r="Z90" s="53"/>
      <c r="AA90" s="56"/>
      <c r="AB90" s="54"/>
      <c r="AC90" s="54"/>
      <c r="AD90" s="54"/>
      <c r="AE90" s="54"/>
    </row>
    <row r="91" s="130" customFormat="1" ht="11.25" customHeight="1">
      <c r="A91" s="684"/>
      <c r="B91" s="57"/>
      <c r="C91" s="57"/>
      <c r="D91" s="130"/>
      <c r="K91" s="53"/>
      <c r="L91" s="57"/>
      <c r="M91" s="57"/>
      <c r="N91" s="53"/>
      <c r="O91" s="53"/>
      <c r="P91" s="53"/>
      <c r="Q91" s="53"/>
      <c r="R91" s="57"/>
      <c r="S91" s="53"/>
      <c r="T91" s="53"/>
      <c r="U91" s="685"/>
      <c r="V91" s="53"/>
      <c r="W91" s="53"/>
      <c r="X91" s="53"/>
      <c r="Y91" s="53"/>
      <c r="Z91" s="53"/>
      <c r="AA91" s="56"/>
      <c r="AB91" s="54"/>
      <c r="AC91" s="54"/>
      <c r="AD91" s="54"/>
      <c r="AE91" s="54"/>
    </row>
    <row r="92" s="130" customFormat="1" ht="11.25" customHeight="1">
      <c r="A92" s="684"/>
      <c r="B92" s="57"/>
      <c r="C92" s="57"/>
      <c r="D92" s="130"/>
      <c r="K92" s="53"/>
      <c r="L92" s="57"/>
      <c r="M92" s="57"/>
      <c r="N92" s="53"/>
      <c r="O92" s="53"/>
      <c r="P92" s="53"/>
      <c r="Q92" s="53"/>
      <c r="R92" s="57"/>
      <c r="S92" s="53"/>
      <c r="T92" s="53"/>
      <c r="U92" s="685"/>
      <c r="V92" s="53"/>
      <c r="W92" s="53"/>
      <c r="X92" s="53"/>
      <c r="Y92" s="53"/>
      <c r="Z92" s="53"/>
      <c r="AA92" s="56"/>
      <c r="AB92" s="54"/>
      <c r="AC92" s="54"/>
      <c r="AD92" s="54"/>
      <c r="AE92" s="54"/>
    </row>
    <row r="93" s="130" customFormat="1" ht="11.25" customHeight="1">
      <c r="A93" s="684"/>
      <c r="B93" s="57"/>
      <c r="C93" s="57"/>
      <c r="D93" s="130"/>
      <c r="K93" s="53"/>
      <c r="L93" s="57"/>
      <c r="M93" s="57"/>
      <c r="N93" s="53"/>
      <c r="O93" s="53"/>
      <c r="P93" s="53"/>
      <c r="Q93" s="53"/>
      <c r="R93" s="57"/>
      <c r="S93" s="53"/>
      <c r="T93" s="53"/>
      <c r="U93" s="685"/>
      <c r="V93" s="53"/>
      <c r="W93" s="53"/>
      <c r="X93" s="53"/>
      <c r="Y93" s="53"/>
      <c r="Z93" s="53"/>
      <c r="AA93" s="56"/>
      <c r="AB93" s="54"/>
      <c r="AC93" s="54"/>
      <c r="AD93" s="54"/>
      <c r="AE93" s="54"/>
    </row>
    <row r="94" s="130" customFormat="1" ht="11.25" customHeight="1">
      <c r="A94" s="684"/>
      <c r="B94" s="57"/>
      <c r="C94" s="57"/>
      <c r="D94" s="130"/>
      <c r="K94" s="53"/>
      <c r="L94" s="57"/>
      <c r="M94" s="57"/>
      <c r="N94" s="53"/>
      <c r="O94" s="53"/>
      <c r="P94" s="53"/>
      <c r="Q94" s="53"/>
      <c r="R94" s="57"/>
      <c r="S94" s="53"/>
      <c r="T94" s="53"/>
      <c r="U94" s="685"/>
      <c r="V94" s="53"/>
      <c r="W94" s="53"/>
      <c r="X94" s="53"/>
      <c r="Y94" s="53"/>
      <c r="Z94" s="53"/>
      <c r="AA94" s="56"/>
      <c r="AB94" s="54"/>
      <c r="AC94" s="54"/>
      <c r="AD94" s="54"/>
      <c r="AE94" s="54"/>
    </row>
    <row r="95" s="130" customFormat="1" ht="11.25" customHeight="1">
      <c r="A95" s="684"/>
      <c r="B95" s="57"/>
      <c r="C95" s="57"/>
      <c r="D95" s="130"/>
      <c r="K95" s="53"/>
      <c r="L95" s="57"/>
      <c r="M95" s="57"/>
      <c r="N95" s="53"/>
      <c r="O95" s="53"/>
      <c r="P95" s="53"/>
      <c r="Q95" s="53"/>
      <c r="R95" s="57"/>
      <c r="S95" s="53"/>
      <c r="T95" s="53"/>
      <c r="U95" s="685"/>
      <c r="V95" s="53"/>
      <c r="W95" s="53"/>
      <c r="X95" s="53"/>
      <c r="Y95" s="53"/>
      <c r="Z95" s="53"/>
      <c r="AA95" s="56"/>
      <c r="AB95" s="54"/>
      <c r="AC95" s="54"/>
      <c r="AD95" s="54"/>
      <c r="AE95" s="54"/>
    </row>
    <row r="96" s="130" customFormat="1" ht="11.25" customHeight="1">
      <c r="A96" s="684"/>
      <c r="B96" s="57"/>
      <c r="C96" s="57"/>
      <c r="D96" s="130"/>
      <c r="K96" s="53"/>
      <c r="L96" s="57"/>
      <c r="M96" s="57"/>
      <c r="N96" s="53"/>
      <c r="O96" s="53"/>
      <c r="P96" s="53"/>
      <c r="Q96" s="53"/>
      <c r="R96" s="57"/>
      <c r="S96" s="53"/>
      <c r="T96" s="53"/>
      <c r="U96" s="685"/>
      <c r="V96" s="53"/>
      <c r="W96" s="53"/>
      <c r="X96" s="53"/>
      <c r="Y96" s="53"/>
      <c r="Z96" s="53"/>
      <c r="AA96" s="56"/>
      <c r="AB96" s="54"/>
      <c r="AC96" s="54"/>
      <c r="AD96" s="54"/>
      <c r="AE96" s="54"/>
    </row>
    <row r="97" s="130" customFormat="1" ht="11.25" customHeight="1">
      <c r="A97" s="684"/>
      <c r="B97" s="57"/>
      <c r="C97" s="57"/>
      <c r="D97" s="130"/>
      <c r="K97" s="53"/>
      <c r="L97" s="57"/>
      <c r="M97" s="57"/>
      <c r="N97" s="53"/>
      <c r="O97" s="53"/>
      <c r="P97" s="53"/>
      <c r="Q97" s="53"/>
      <c r="R97" s="57"/>
      <c r="S97" s="53"/>
      <c r="T97" s="53"/>
      <c r="U97" s="685"/>
      <c r="V97" s="53"/>
      <c r="W97" s="53"/>
      <c r="X97" s="53"/>
      <c r="Y97" s="53"/>
      <c r="Z97" s="53"/>
      <c r="AA97" s="56"/>
      <c r="AB97" s="54"/>
      <c r="AC97" s="54"/>
      <c r="AD97" s="54"/>
      <c r="AE97" s="54"/>
    </row>
    <row r="98" s="130" customFormat="1" ht="11.25" customHeight="1">
      <c r="A98" s="684"/>
      <c r="B98" s="57"/>
      <c r="C98" s="57"/>
      <c r="D98" s="130"/>
      <c r="K98" s="53"/>
      <c r="L98" s="57"/>
      <c r="M98" s="57"/>
      <c r="N98" s="53"/>
      <c r="O98" s="53"/>
      <c r="P98" s="53"/>
      <c r="Q98" s="53"/>
      <c r="R98" s="57"/>
      <c r="S98" s="53"/>
      <c r="T98" s="53"/>
      <c r="U98" s="685"/>
      <c r="V98" s="53"/>
      <c r="W98" s="53"/>
      <c r="X98" s="53"/>
      <c r="Y98" s="53"/>
      <c r="Z98" s="53"/>
      <c r="AA98" s="56"/>
      <c r="AB98" s="54"/>
      <c r="AC98" s="54"/>
      <c r="AD98" s="54"/>
      <c r="AE98" s="54"/>
    </row>
    <row r="99" s="130" customFormat="1" ht="11.25" customHeight="1">
      <c r="A99" s="684"/>
      <c r="B99" s="57"/>
      <c r="C99" s="57"/>
      <c r="D99" s="130"/>
      <c r="K99" s="53"/>
      <c r="L99" s="57"/>
      <c r="M99" s="57"/>
      <c r="N99" s="53"/>
      <c r="O99" s="53"/>
      <c r="P99" s="53"/>
      <c r="Q99" s="53"/>
      <c r="R99" s="57"/>
      <c r="S99" s="53"/>
      <c r="T99" s="53"/>
      <c r="U99" s="685"/>
      <c r="V99" s="53"/>
      <c r="W99" s="53"/>
      <c r="X99" s="53"/>
      <c r="Y99" s="53"/>
      <c r="Z99" s="53"/>
      <c r="AA99" s="56"/>
      <c r="AB99" s="54"/>
      <c r="AC99" s="54"/>
      <c r="AD99" s="54"/>
      <c r="AE99" s="54"/>
    </row>
    <row r="100" s="130" customFormat="1" ht="11.25" customHeight="1">
      <c r="A100" s="684"/>
      <c r="B100" s="57"/>
      <c r="C100" s="57"/>
      <c r="D100" s="130"/>
      <c r="K100" s="53"/>
      <c r="L100" s="57"/>
      <c r="M100" s="57"/>
      <c r="N100" s="53"/>
      <c r="O100" s="53"/>
      <c r="P100" s="53"/>
      <c r="Q100" s="53"/>
      <c r="R100" s="57"/>
      <c r="S100" s="53"/>
      <c r="T100" s="53"/>
      <c r="U100" s="685"/>
      <c r="V100" s="53"/>
      <c r="W100" s="53"/>
      <c r="X100" s="53"/>
      <c r="Y100" s="53"/>
      <c r="Z100" s="53"/>
      <c r="AA100" s="56"/>
      <c r="AB100" s="54"/>
      <c r="AC100" s="54"/>
      <c r="AD100" s="54"/>
      <c r="AE100" s="54"/>
    </row>
    <row r="101" s="130" customFormat="1" ht="11.25" customHeight="1">
      <c r="A101" s="684"/>
      <c r="B101" s="57"/>
      <c r="C101" s="57"/>
      <c r="D101" s="130"/>
      <c r="K101" s="53"/>
      <c r="L101" s="57"/>
      <c r="M101" s="57"/>
      <c r="N101" s="53"/>
      <c r="O101" s="53"/>
      <c r="P101" s="53"/>
      <c r="Q101" s="53"/>
      <c r="R101" s="57"/>
      <c r="S101" s="53"/>
      <c r="T101" s="53"/>
      <c r="U101" s="685"/>
      <c r="V101" s="53"/>
      <c r="W101" s="53"/>
      <c r="X101" s="53"/>
      <c r="Y101" s="53"/>
      <c r="Z101" s="53"/>
      <c r="AA101" s="56"/>
      <c r="AB101" s="54"/>
      <c r="AC101" s="54"/>
      <c r="AD101" s="54"/>
      <c r="AE101" s="54"/>
    </row>
    <row r="102" s="130" customFormat="1" ht="11.25" customHeight="1">
      <c r="A102" s="684"/>
      <c r="B102" s="57"/>
      <c r="C102" s="57"/>
      <c r="D102" s="130"/>
      <c r="K102" s="53"/>
      <c r="L102" s="57"/>
      <c r="M102" s="57"/>
      <c r="N102" s="53"/>
      <c r="O102" s="53"/>
      <c r="P102" s="53"/>
      <c r="Q102" s="53"/>
      <c r="R102" s="57"/>
      <c r="S102" s="53"/>
      <c r="T102" s="53"/>
      <c r="U102" s="685"/>
      <c r="V102" s="53"/>
      <c r="W102" s="53"/>
      <c r="X102" s="53"/>
      <c r="Y102" s="53"/>
      <c r="Z102" s="53"/>
      <c r="AA102" s="56"/>
      <c r="AB102" s="54"/>
      <c r="AC102" s="54"/>
      <c r="AD102" s="54"/>
      <c r="AE102" s="54"/>
    </row>
    <row r="103" s="130" customFormat="1" ht="11.25" customHeight="1">
      <c r="A103" s="684"/>
      <c r="B103" s="57"/>
      <c r="C103" s="57"/>
      <c r="D103" s="130"/>
      <c r="K103" s="53"/>
      <c r="L103" s="57"/>
      <c r="M103" s="57"/>
      <c r="N103" s="53"/>
      <c r="O103" s="53"/>
      <c r="P103" s="53"/>
      <c r="Q103" s="53"/>
      <c r="R103" s="57"/>
      <c r="S103" s="53"/>
      <c r="T103" s="53"/>
      <c r="U103" s="685"/>
      <c r="V103" s="53"/>
      <c r="W103" s="53"/>
      <c r="X103" s="53"/>
      <c r="Y103" s="53"/>
      <c r="Z103" s="53"/>
      <c r="AA103" s="56"/>
      <c r="AB103" s="54"/>
      <c r="AC103" s="54"/>
      <c r="AD103" s="54"/>
      <c r="AE103" s="54"/>
    </row>
    <row r="104" s="130" customFormat="1" ht="11.25" customHeight="1">
      <c r="A104" s="684"/>
      <c r="B104" s="57"/>
      <c r="C104" s="57"/>
      <c r="D104" s="130"/>
      <c r="K104" s="53"/>
      <c r="L104" s="57"/>
      <c r="M104" s="57"/>
      <c r="N104" s="53"/>
      <c r="O104" s="53"/>
      <c r="P104" s="53"/>
      <c r="Q104" s="53"/>
      <c r="R104" s="57"/>
      <c r="S104" s="53"/>
      <c r="T104" s="53"/>
      <c r="U104" s="685"/>
      <c r="V104" s="53"/>
      <c r="W104" s="53"/>
      <c r="X104" s="53"/>
      <c r="Y104" s="53"/>
      <c r="Z104" s="53"/>
      <c r="AA104" s="56"/>
      <c r="AB104" s="54"/>
      <c r="AC104" s="54"/>
      <c r="AD104" s="54"/>
      <c r="AE104" s="54"/>
    </row>
    <row r="105" s="130" customFormat="1" ht="11.25" customHeight="1">
      <c r="A105" s="684"/>
      <c r="B105" s="57"/>
      <c r="C105" s="57"/>
      <c r="D105" s="130"/>
      <c r="K105" s="53"/>
      <c r="L105" s="57"/>
      <c r="M105" s="57"/>
      <c r="N105" s="53"/>
      <c r="O105" s="53"/>
      <c r="P105" s="53"/>
      <c r="Q105" s="53"/>
      <c r="R105" s="57"/>
      <c r="S105" s="53"/>
      <c r="T105" s="53"/>
      <c r="U105" s="685"/>
      <c r="V105" s="53"/>
      <c r="W105" s="53"/>
      <c r="X105" s="53"/>
      <c r="Y105" s="53"/>
      <c r="Z105" s="53"/>
      <c r="AA105" s="56"/>
      <c r="AB105" s="54"/>
      <c r="AC105" s="54"/>
      <c r="AD105" s="54"/>
      <c r="AE105" s="54"/>
    </row>
    <row r="106" s="130" customFormat="1" ht="11.25" customHeight="1">
      <c r="A106" s="684"/>
      <c r="B106" s="57"/>
      <c r="C106" s="57"/>
      <c r="D106" s="130"/>
      <c r="K106" s="53"/>
      <c r="L106" s="57"/>
      <c r="M106" s="57"/>
      <c r="N106" s="53"/>
      <c r="O106" s="53"/>
      <c r="P106" s="53"/>
      <c r="Q106" s="53"/>
      <c r="R106" s="57"/>
      <c r="S106" s="53"/>
      <c r="T106" s="53"/>
      <c r="U106" s="685"/>
      <c r="V106" s="53"/>
      <c r="W106" s="53"/>
      <c r="X106" s="53"/>
      <c r="Y106" s="53"/>
      <c r="Z106" s="53"/>
      <c r="AA106" s="56"/>
      <c r="AB106" s="54"/>
      <c r="AC106" s="54"/>
      <c r="AD106" s="54"/>
      <c r="AE106" s="54"/>
    </row>
    <row r="107" s="130" customFormat="1" ht="11.25" customHeight="1">
      <c r="A107" s="684"/>
      <c r="B107" s="57"/>
      <c r="C107" s="57"/>
      <c r="D107" s="130"/>
      <c r="K107" s="53"/>
      <c r="L107" s="57"/>
      <c r="M107" s="57"/>
      <c r="N107" s="53"/>
      <c r="O107" s="53"/>
      <c r="P107" s="53"/>
      <c r="Q107" s="53"/>
      <c r="R107" s="57"/>
      <c r="S107" s="53"/>
      <c r="T107" s="53"/>
      <c r="U107" s="685"/>
      <c r="V107" s="53"/>
      <c r="W107" s="53"/>
      <c r="X107" s="53"/>
      <c r="Y107" s="53"/>
      <c r="Z107" s="53"/>
      <c r="AA107" s="56"/>
      <c r="AB107" s="54"/>
      <c r="AC107" s="54"/>
      <c r="AD107" s="54"/>
      <c r="AE107" s="54"/>
    </row>
    <row r="108" s="130" customFormat="1" ht="11.25" customHeight="1">
      <c r="A108" s="684"/>
      <c r="B108" s="57"/>
      <c r="C108" s="57"/>
      <c r="D108" s="130"/>
      <c r="K108" s="53"/>
      <c r="L108" s="57"/>
      <c r="M108" s="57"/>
      <c r="N108" s="53"/>
      <c r="O108" s="53"/>
      <c r="P108" s="53"/>
      <c r="Q108" s="53"/>
      <c r="R108" s="57"/>
      <c r="S108" s="53"/>
      <c r="T108" s="53"/>
      <c r="U108" s="685"/>
      <c r="V108" s="53"/>
      <c r="W108" s="53"/>
      <c r="X108" s="53"/>
      <c r="Y108" s="53"/>
      <c r="Z108" s="53"/>
      <c r="AA108" s="56"/>
      <c r="AB108" s="54"/>
      <c r="AC108" s="54"/>
      <c r="AD108" s="54"/>
      <c r="AE108" s="54"/>
    </row>
    <row r="109" s="130" customFormat="1" ht="11.25" customHeight="1">
      <c r="A109" s="684"/>
      <c r="B109" s="57"/>
      <c r="C109" s="57"/>
      <c r="D109" s="130"/>
      <c r="K109" s="53"/>
      <c r="L109" s="57"/>
      <c r="M109" s="57"/>
      <c r="N109" s="53"/>
      <c r="O109" s="53"/>
      <c r="P109" s="53"/>
      <c r="Q109" s="53"/>
      <c r="R109" s="57"/>
      <c r="S109" s="53"/>
      <c r="T109" s="53"/>
      <c r="U109" s="685"/>
      <c r="V109" s="53"/>
      <c r="W109" s="53"/>
      <c r="X109" s="53"/>
      <c r="Y109" s="53"/>
      <c r="Z109" s="53"/>
      <c r="AA109" s="56"/>
      <c r="AB109" s="54"/>
      <c r="AC109" s="54"/>
      <c r="AD109" s="54"/>
      <c r="AE109" s="54"/>
    </row>
    <row r="110" s="130" customFormat="1" ht="11.25" customHeight="1">
      <c r="A110" s="684"/>
      <c r="B110" s="57"/>
      <c r="C110" s="57"/>
      <c r="D110" s="130"/>
      <c r="K110" s="53"/>
      <c r="L110" s="57"/>
      <c r="M110" s="57"/>
      <c r="N110" s="53"/>
      <c r="O110" s="53"/>
      <c r="P110" s="53"/>
      <c r="Q110" s="53"/>
      <c r="R110" s="57"/>
      <c r="S110" s="53"/>
      <c r="T110" s="53"/>
      <c r="U110" s="685"/>
      <c r="V110" s="53"/>
      <c r="W110" s="53"/>
      <c r="X110" s="53"/>
      <c r="Y110" s="53"/>
      <c r="Z110" s="53"/>
      <c r="AA110" s="56"/>
      <c r="AB110" s="54"/>
      <c r="AC110" s="54"/>
      <c r="AD110" s="54"/>
      <c r="AE110" s="54"/>
    </row>
    <row r="111" s="130" customFormat="1" ht="11.25" customHeight="1">
      <c r="A111" s="684"/>
      <c r="B111" s="57"/>
      <c r="C111" s="57"/>
      <c r="D111" s="130"/>
      <c r="K111" s="53"/>
      <c r="L111" s="57"/>
      <c r="M111" s="57"/>
      <c r="N111" s="53"/>
      <c r="O111" s="53"/>
      <c r="P111" s="53"/>
      <c r="Q111" s="53"/>
      <c r="R111" s="57"/>
      <c r="S111" s="53"/>
      <c r="T111" s="53"/>
      <c r="U111" s="685"/>
      <c r="V111" s="53"/>
      <c r="W111" s="53"/>
      <c r="X111" s="53"/>
      <c r="Y111" s="53"/>
      <c r="Z111" s="53"/>
      <c r="AA111" s="56"/>
      <c r="AB111" s="54"/>
      <c r="AC111" s="54"/>
      <c r="AD111" s="54"/>
      <c r="AE111" s="54"/>
    </row>
    <row r="112" s="130" customFormat="1" ht="11.25" customHeight="1">
      <c r="A112" s="684"/>
      <c r="B112" s="57"/>
      <c r="C112" s="57"/>
      <c r="D112" s="130"/>
      <c r="K112" s="53"/>
      <c r="L112" s="57"/>
      <c r="M112" s="57"/>
      <c r="N112" s="53"/>
      <c r="O112" s="53"/>
      <c r="P112" s="53"/>
      <c r="Q112" s="53"/>
      <c r="R112" s="57"/>
      <c r="S112" s="53"/>
      <c r="T112" s="53"/>
      <c r="U112" s="685"/>
      <c r="V112" s="53"/>
      <c r="W112" s="53"/>
      <c r="X112" s="53"/>
      <c r="Y112" s="53"/>
      <c r="Z112" s="53"/>
      <c r="AA112" s="56"/>
      <c r="AB112" s="54"/>
      <c r="AC112" s="54"/>
      <c r="AD112" s="54"/>
      <c r="AE112" s="54"/>
    </row>
    <row r="113" s="130" customFormat="1" ht="11.25" customHeight="1">
      <c r="A113" s="684"/>
      <c r="B113" s="57"/>
      <c r="C113" s="57"/>
      <c r="D113" s="130"/>
      <c r="K113" s="53"/>
      <c r="L113" s="57"/>
      <c r="M113" s="57"/>
      <c r="N113" s="53"/>
      <c r="O113" s="53"/>
      <c r="P113" s="53"/>
      <c r="Q113" s="53"/>
      <c r="R113" s="57"/>
      <c r="S113" s="53"/>
      <c r="T113" s="53"/>
      <c r="U113" s="685"/>
      <c r="V113" s="53"/>
      <c r="W113" s="53"/>
      <c r="X113" s="53"/>
      <c r="Y113" s="53"/>
      <c r="Z113" s="53"/>
      <c r="AA113" s="56"/>
      <c r="AB113" s="54"/>
      <c r="AC113" s="54"/>
      <c r="AD113" s="54"/>
      <c r="AE113" s="54"/>
    </row>
    <row r="114" s="130" customFormat="1" ht="11.25" customHeight="1">
      <c r="A114" s="684"/>
      <c r="B114" s="57"/>
      <c r="C114" s="57"/>
      <c r="D114" s="130"/>
      <c r="K114" s="53"/>
      <c r="L114" s="57"/>
      <c r="M114" s="57"/>
      <c r="N114" s="53"/>
      <c r="O114" s="53"/>
      <c r="P114" s="53"/>
      <c r="Q114" s="53"/>
      <c r="R114" s="57"/>
      <c r="S114" s="53"/>
      <c r="T114" s="53"/>
      <c r="U114" s="685"/>
      <c r="V114" s="53"/>
      <c r="W114" s="53"/>
      <c r="X114" s="53"/>
      <c r="Y114" s="53"/>
      <c r="Z114" s="53"/>
      <c r="AA114" s="56"/>
      <c r="AB114" s="54"/>
      <c r="AC114" s="54"/>
      <c r="AD114" s="54"/>
      <c r="AE114" s="54"/>
    </row>
    <row r="115" s="130" customFormat="1" ht="11.25" customHeight="1">
      <c r="A115" s="684"/>
      <c r="B115" s="57"/>
      <c r="C115" s="57"/>
      <c r="D115" s="130"/>
      <c r="K115" s="53"/>
      <c r="L115" s="57"/>
      <c r="M115" s="57"/>
      <c r="N115" s="53"/>
      <c r="O115" s="53"/>
      <c r="P115" s="53"/>
      <c r="Q115" s="53"/>
      <c r="R115" s="57"/>
      <c r="S115" s="53"/>
      <c r="T115" s="53"/>
      <c r="U115" s="685"/>
      <c r="V115" s="53"/>
      <c r="W115" s="53"/>
      <c r="X115" s="53"/>
      <c r="Y115" s="53"/>
      <c r="Z115" s="53"/>
      <c r="AA115" s="56"/>
      <c r="AB115" s="54"/>
      <c r="AC115" s="54"/>
      <c r="AD115" s="54"/>
      <c r="AE115" s="54"/>
    </row>
    <row r="116" s="130" customFormat="1" ht="11.25" customHeight="1">
      <c r="A116" s="684"/>
      <c r="B116" s="57"/>
      <c r="C116" s="57"/>
      <c r="D116" s="130"/>
      <c r="K116" s="53"/>
      <c r="L116" s="57"/>
      <c r="M116" s="57"/>
      <c r="N116" s="53"/>
      <c r="O116" s="53"/>
      <c r="P116" s="53"/>
      <c r="Q116" s="53"/>
      <c r="R116" s="57"/>
      <c r="S116" s="53"/>
      <c r="T116" s="53"/>
      <c r="U116" s="685"/>
      <c r="V116" s="53"/>
      <c r="W116" s="53"/>
      <c r="X116" s="53"/>
      <c r="Y116" s="53"/>
      <c r="Z116" s="53"/>
      <c r="AA116" s="56"/>
      <c r="AB116" s="54"/>
      <c r="AC116" s="54"/>
      <c r="AD116" s="54"/>
      <c r="AE116" s="54"/>
    </row>
    <row r="117" s="130" customFormat="1" ht="11.25" customHeight="1">
      <c r="A117" s="684"/>
      <c r="B117" s="57"/>
      <c r="C117" s="57"/>
      <c r="D117" s="130"/>
      <c r="K117" s="53"/>
      <c r="L117" s="57"/>
      <c r="M117" s="57"/>
      <c r="N117" s="53"/>
      <c r="O117" s="53"/>
      <c r="P117" s="53"/>
      <c r="Q117" s="53"/>
      <c r="R117" s="57"/>
      <c r="S117" s="53"/>
      <c r="T117" s="53"/>
      <c r="U117" s="685"/>
      <c r="V117" s="53"/>
      <c r="W117" s="53"/>
      <c r="X117" s="53"/>
      <c r="Y117" s="53"/>
      <c r="Z117" s="53"/>
      <c r="AA117" s="56"/>
      <c r="AB117" s="54"/>
      <c r="AC117" s="54"/>
      <c r="AD117" s="54"/>
      <c r="AE117" s="54"/>
    </row>
    <row r="118" s="130" customFormat="1" ht="11.25" customHeight="1">
      <c r="A118" s="684"/>
      <c r="B118" s="57"/>
      <c r="C118" s="57"/>
      <c r="D118" s="130"/>
      <c r="K118" s="53"/>
      <c r="L118" s="57"/>
      <c r="M118" s="57"/>
      <c r="N118" s="53"/>
      <c r="O118" s="53"/>
      <c r="P118" s="53"/>
      <c r="Q118" s="53"/>
      <c r="R118" s="57"/>
      <c r="S118" s="53"/>
      <c r="T118" s="53"/>
      <c r="U118" s="685"/>
      <c r="V118" s="53"/>
      <c r="W118" s="53"/>
      <c r="X118" s="53"/>
      <c r="Y118" s="53"/>
      <c r="Z118" s="53"/>
      <c r="AA118" s="56"/>
      <c r="AB118" s="54"/>
      <c r="AC118" s="54"/>
      <c r="AD118" s="54"/>
      <c r="AE118" s="54"/>
    </row>
    <row r="119" s="130" customFormat="1" ht="11.25" customHeight="1">
      <c r="A119" s="684"/>
      <c r="B119" s="57"/>
      <c r="C119" s="57"/>
      <c r="D119" s="130"/>
      <c r="K119" s="53"/>
      <c r="L119" s="57"/>
      <c r="M119" s="57"/>
      <c r="N119" s="53"/>
      <c r="O119" s="53"/>
      <c r="P119" s="53"/>
      <c r="Q119" s="53"/>
      <c r="R119" s="57"/>
      <c r="S119" s="53"/>
      <c r="T119" s="53"/>
      <c r="U119" s="685"/>
      <c r="V119" s="53"/>
      <c r="W119" s="53"/>
      <c r="X119" s="53"/>
      <c r="Y119" s="53"/>
      <c r="Z119" s="53"/>
      <c r="AA119" s="56"/>
      <c r="AB119" s="54"/>
      <c r="AC119" s="54"/>
      <c r="AD119" s="54"/>
      <c r="AE119" s="54"/>
    </row>
    <row r="120" s="130" customFormat="1" ht="11.25" customHeight="1">
      <c r="A120" s="684"/>
      <c r="B120" s="57"/>
      <c r="C120" s="57"/>
      <c r="D120" s="130"/>
      <c r="K120" s="53"/>
      <c r="L120" s="57"/>
      <c r="M120" s="57"/>
      <c r="N120" s="53"/>
      <c r="O120" s="53"/>
      <c r="P120" s="53"/>
      <c r="Q120" s="53"/>
      <c r="R120" s="57"/>
      <c r="S120" s="53"/>
      <c r="T120" s="53"/>
      <c r="U120" s="685"/>
      <c r="V120" s="53"/>
      <c r="W120" s="53"/>
      <c r="X120" s="53"/>
      <c r="Y120" s="53"/>
      <c r="Z120" s="53"/>
      <c r="AA120" s="56"/>
      <c r="AB120" s="54"/>
      <c r="AC120" s="54"/>
      <c r="AD120" s="54"/>
      <c r="AE120" s="54"/>
    </row>
    <row r="121" s="130" customFormat="1" ht="11.25" customHeight="1">
      <c r="A121" s="684"/>
      <c r="B121" s="57"/>
      <c r="C121" s="57"/>
      <c r="D121" s="130"/>
      <c r="K121" s="53"/>
      <c r="L121" s="57"/>
      <c r="M121" s="57"/>
      <c r="N121" s="53"/>
      <c r="O121" s="53"/>
      <c r="P121" s="53"/>
      <c r="Q121" s="53"/>
      <c r="R121" s="57"/>
      <c r="S121" s="53"/>
      <c r="T121" s="53"/>
      <c r="U121" s="685"/>
      <c r="V121" s="53"/>
      <c r="W121" s="53"/>
      <c r="X121" s="53"/>
      <c r="Y121" s="53"/>
      <c r="Z121" s="53"/>
      <c r="AA121" s="56"/>
      <c r="AB121" s="54"/>
      <c r="AC121" s="54"/>
      <c r="AD121" s="54"/>
      <c r="AE121" s="54"/>
    </row>
    <row r="122" s="130" customFormat="1" ht="11.25" customHeight="1">
      <c r="A122" s="684"/>
      <c r="B122" s="57"/>
      <c r="C122" s="57"/>
      <c r="D122" s="130"/>
      <c r="K122" s="53"/>
      <c r="L122" s="57"/>
      <c r="M122" s="57"/>
      <c r="N122" s="53"/>
      <c r="O122" s="53"/>
      <c r="P122" s="53"/>
      <c r="Q122" s="53"/>
      <c r="R122" s="57"/>
      <c r="S122" s="53"/>
      <c r="T122" s="53"/>
      <c r="U122" s="685"/>
      <c r="V122" s="53"/>
      <c r="W122" s="53"/>
      <c r="X122" s="53"/>
      <c r="Y122" s="53"/>
      <c r="Z122" s="53"/>
      <c r="AA122" s="56"/>
      <c r="AB122" s="54"/>
      <c r="AC122" s="54"/>
      <c r="AD122" s="54"/>
      <c r="AE122" s="54"/>
    </row>
    <row r="123" s="130" customFormat="1" ht="11.25" customHeight="1">
      <c r="A123" s="684"/>
      <c r="B123" s="57"/>
      <c r="C123" s="57"/>
      <c r="D123" s="130"/>
      <c r="K123" s="53"/>
      <c r="L123" s="57"/>
      <c r="M123" s="57"/>
      <c r="N123" s="53"/>
      <c r="O123" s="53"/>
      <c r="P123" s="53"/>
      <c r="Q123" s="53"/>
      <c r="R123" s="57"/>
      <c r="S123" s="53"/>
      <c r="T123" s="53"/>
      <c r="U123" s="685"/>
      <c r="V123" s="53"/>
      <c r="W123" s="53"/>
      <c r="X123" s="53"/>
      <c r="Y123" s="53"/>
      <c r="Z123" s="53"/>
      <c r="AA123" s="56"/>
      <c r="AB123" s="54"/>
      <c r="AC123" s="54"/>
      <c r="AD123" s="54"/>
      <c r="AE123" s="54"/>
    </row>
    <row r="124" s="130" customFormat="1" ht="11.25" customHeight="1">
      <c r="A124" s="684"/>
      <c r="B124" s="57"/>
      <c r="C124" s="57"/>
      <c r="D124" s="130"/>
      <c r="K124" s="53"/>
      <c r="L124" s="57"/>
      <c r="M124" s="57"/>
      <c r="N124" s="53"/>
      <c r="O124" s="53"/>
      <c r="P124" s="53"/>
      <c r="Q124" s="53"/>
      <c r="R124" s="57"/>
      <c r="S124" s="53"/>
      <c r="T124" s="53"/>
      <c r="U124" s="685"/>
      <c r="V124" s="53"/>
      <c r="W124" s="53"/>
      <c r="X124" s="53"/>
      <c r="Y124" s="53"/>
      <c r="Z124" s="53"/>
      <c r="AA124" s="56"/>
      <c r="AB124" s="54"/>
      <c r="AC124" s="54"/>
      <c r="AD124" s="54"/>
      <c r="AE124" s="54"/>
    </row>
    <row r="125" s="130" customFormat="1" ht="11.25" customHeight="1">
      <c r="A125" s="684"/>
      <c r="B125" s="57"/>
      <c r="C125" s="57"/>
      <c r="D125" s="130"/>
      <c r="K125" s="53"/>
      <c r="L125" s="57"/>
      <c r="M125" s="57"/>
      <c r="N125" s="53"/>
      <c r="O125" s="53"/>
      <c r="P125" s="53"/>
      <c r="Q125" s="53"/>
      <c r="R125" s="57"/>
      <c r="S125" s="53"/>
      <c r="T125" s="53"/>
      <c r="U125" s="685"/>
      <c r="V125" s="53"/>
      <c r="W125" s="53"/>
      <c r="X125" s="53"/>
      <c r="Y125" s="53"/>
      <c r="Z125" s="53"/>
      <c r="AA125" s="56"/>
      <c r="AB125" s="54"/>
      <c r="AC125" s="54"/>
      <c r="AD125" s="54"/>
      <c r="AE125" s="54"/>
    </row>
    <row r="126" s="130" customFormat="1" ht="11.25" customHeight="1">
      <c r="A126" s="684"/>
      <c r="B126" s="57"/>
      <c r="C126" s="57"/>
      <c r="D126" s="130"/>
      <c r="K126" s="53"/>
      <c r="L126" s="57"/>
      <c r="M126" s="57"/>
      <c r="N126" s="53"/>
      <c r="O126" s="53"/>
      <c r="P126" s="53"/>
      <c r="Q126" s="53"/>
      <c r="R126" s="57"/>
      <c r="S126" s="53"/>
      <c r="T126" s="53"/>
      <c r="U126" s="685"/>
      <c r="V126" s="53"/>
      <c r="W126" s="53"/>
      <c r="X126" s="53"/>
      <c r="Y126" s="53"/>
      <c r="Z126" s="53"/>
      <c r="AA126" s="56"/>
      <c r="AB126" s="54"/>
      <c r="AC126" s="54"/>
      <c r="AD126" s="54"/>
      <c r="AE126" s="54"/>
    </row>
    <row r="127" s="130" customFormat="1" ht="11.25" customHeight="1">
      <c r="A127" s="684"/>
      <c r="B127" s="57"/>
      <c r="C127" s="57"/>
      <c r="D127" s="130"/>
      <c r="K127" s="53"/>
      <c r="L127" s="57"/>
      <c r="M127" s="57"/>
      <c r="N127" s="53"/>
      <c r="O127" s="53"/>
      <c r="P127" s="53"/>
      <c r="Q127" s="53"/>
      <c r="R127" s="57"/>
      <c r="S127" s="53"/>
      <c r="T127" s="53"/>
      <c r="U127" s="685"/>
      <c r="V127" s="53"/>
      <c r="W127" s="53"/>
      <c r="X127" s="53"/>
      <c r="Y127" s="53"/>
      <c r="Z127" s="53"/>
      <c r="AA127" s="56"/>
      <c r="AB127" s="54"/>
      <c r="AC127" s="54"/>
      <c r="AD127" s="54"/>
      <c r="AE127" s="54"/>
    </row>
    <row r="128" s="130" customFormat="1" ht="11.25" customHeight="1">
      <c r="A128" s="684"/>
      <c r="B128" s="57"/>
      <c r="C128" s="57"/>
      <c r="D128" s="130"/>
      <c r="K128" s="53"/>
      <c r="L128" s="57"/>
      <c r="M128" s="57"/>
      <c r="N128" s="53"/>
      <c r="O128" s="53"/>
      <c r="P128" s="53"/>
      <c r="Q128" s="53"/>
      <c r="R128" s="57"/>
      <c r="S128" s="53"/>
      <c r="T128" s="53"/>
      <c r="U128" s="685"/>
      <c r="V128" s="53"/>
      <c r="W128" s="53"/>
      <c r="X128" s="53"/>
      <c r="Y128" s="53"/>
      <c r="Z128" s="53"/>
      <c r="AA128" s="56"/>
      <c r="AB128" s="54"/>
      <c r="AC128" s="54"/>
      <c r="AD128" s="54"/>
      <c r="AE128" s="54"/>
    </row>
    <row r="129" s="130" customFormat="1" ht="11.25" customHeight="1">
      <c r="A129" s="684"/>
      <c r="B129" s="57"/>
      <c r="C129" s="57"/>
      <c r="D129" s="130"/>
      <c r="K129" s="53"/>
      <c r="L129" s="57"/>
      <c r="M129" s="57"/>
      <c r="N129" s="53"/>
      <c r="O129" s="53"/>
      <c r="P129" s="53"/>
      <c r="Q129" s="53"/>
      <c r="R129" s="57"/>
      <c r="S129" s="53"/>
      <c r="T129" s="53"/>
      <c r="U129" s="685"/>
      <c r="V129" s="53"/>
      <c r="W129" s="53"/>
      <c r="X129" s="53"/>
      <c r="Y129" s="53"/>
      <c r="Z129" s="53"/>
      <c r="AA129" s="56"/>
      <c r="AB129" s="54"/>
      <c r="AC129" s="54"/>
      <c r="AD129" s="54"/>
      <c r="AE129" s="54"/>
    </row>
    <row r="130" s="130" customFormat="1" ht="11.25" customHeight="1">
      <c r="A130" s="684"/>
      <c r="B130" s="57"/>
      <c r="C130" s="57"/>
      <c r="D130" s="130"/>
      <c r="K130" s="53"/>
      <c r="L130" s="57"/>
      <c r="M130" s="57"/>
      <c r="N130" s="53"/>
      <c r="O130" s="53"/>
      <c r="P130" s="53"/>
      <c r="Q130" s="53"/>
      <c r="R130" s="57"/>
      <c r="S130" s="53"/>
      <c r="T130" s="53"/>
      <c r="U130" s="685"/>
      <c r="V130" s="53"/>
      <c r="W130" s="53"/>
      <c r="X130" s="53"/>
      <c r="Y130" s="53"/>
      <c r="Z130" s="53"/>
      <c r="AA130" s="56"/>
      <c r="AB130" s="54"/>
      <c r="AC130" s="54"/>
      <c r="AD130" s="54"/>
      <c r="AE130" s="54"/>
    </row>
    <row r="131" s="130" customFormat="1" ht="11.25" customHeight="1">
      <c r="A131" s="684"/>
      <c r="B131" s="57"/>
      <c r="C131" s="57"/>
      <c r="D131" s="130"/>
      <c r="K131" s="53"/>
      <c r="L131" s="57"/>
      <c r="M131" s="57"/>
      <c r="N131" s="53"/>
      <c r="O131" s="53"/>
      <c r="P131" s="53"/>
      <c r="Q131" s="53"/>
      <c r="R131" s="57"/>
      <c r="S131" s="53"/>
      <c r="T131" s="53"/>
      <c r="U131" s="685"/>
      <c r="V131" s="53"/>
      <c r="W131" s="53"/>
      <c r="X131" s="53"/>
      <c r="Y131" s="53"/>
      <c r="Z131" s="53"/>
      <c r="AA131" s="56"/>
      <c r="AB131" s="54"/>
      <c r="AC131" s="54"/>
      <c r="AD131" s="54"/>
      <c r="AE131" s="54"/>
    </row>
    <row r="132" s="130" customFormat="1" ht="11.25" customHeight="1">
      <c r="A132" s="684"/>
      <c r="B132" s="57"/>
      <c r="C132" s="57"/>
      <c r="D132" s="130"/>
      <c r="K132" s="53"/>
      <c r="L132" s="57"/>
      <c r="M132" s="57"/>
      <c r="N132" s="53"/>
      <c r="O132" s="53"/>
      <c r="P132" s="53"/>
      <c r="Q132" s="53"/>
      <c r="R132" s="57"/>
      <c r="S132" s="53"/>
      <c r="T132" s="53"/>
      <c r="U132" s="685"/>
      <c r="V132" s="53"/>
      <c r="W132" s="53"/>
      <c r="X132" s="53"/>
      <c r="Y132" s="53"/>
      <c r="Z132" s="53"/>
      <c r="AA132" s="56"/>
      <c r="AB132" s="54"/>
      <c r="AC132" s="54"/>
      <c r="AD132" s="54"/>
      <c r="AE132" s="54"/>
    </row>
    <row r="133" s="130" customFormat="1" ht="11.25" customHeight="1">
      <c r="A133" s="684"/>
      <c r="B133" s="57"/>
      <c r="C133" s="57"/>
      <c r="D133" s="130"/>
      <c r="K133" s="53"/>
      <c r="L133" s="57"/>
      <c r="M133" s="57"/>
      <c r="N133" s="53"/>
      <c r="O133" s="53"/>
      <c r="P133" s="53"/>
      <c r="Q133" s="53"/>
      <c r="R133" s="57"/>
      <c r="S133" s="53"/>
      <c r="T133" s="53"/>
      <c r="U133" s="685"/>
      <c r="V133" s="53"/>
      <c r="W133" s="53"/>
      <c r="X133" s="53"/>
      <c r="Y133" s="53"/>
      <c r="Z133" s="53"/>
      <c r="AA133" s="56"/>
      <c r="AB133" s="54"/>
      <c r="AC133" s="54"/>
      <c r="AD133" s="54"/>
      <c r="AE133" s="54"/>
    </row>
    <row r="134" s="130" customFormat="1" ht="11.25" customHeight="1">
      <c r="A134" s="684"/>
      <c r="B134" s="57"/>
      <c r="C134" s="57"/>
      <c r="D134" s="130"/>
      <c r="K134" s="53"/>
      <c r="L134" s="57"/>
      <c r="M134" s="57"/>
      <c r="N134" s="53"/>
      <c r="O134" s="53"/>
      <c r="P134" s="53"/>
      <c r="Q134" s="53"/>
      <c r="R134" s="57"/>
      <c r="S134" s="53"/>
      <c r="T134" s="53"/>
      <c r="U134" s="685"/>
      <c r="V134" s="53"/>
      <c r="W134" s="53"/>
      <c r="X134" s="53"/>
      <c r="Y134" s="53"/>
      <c r="Z134" s="53"/>
      <c r="AA134" s="56"/>
      <c r="AB134" s="54"/>
      <c r="AC134" s="54"/>
      <c r="AD134" s="54"/>
      <c r="AE134" s="54"/>
    </row>
    <row r="135" s="130" customFormat="1" ht="11.25" customHeight="1">
      <c r="A135" s="684"/>
      <c r="B135" s="57"/>
      <c r="C135" s="57"/>
      <c r="D135" s="130"/>
      <c r="K135" s="53"/>
      <c r="L135" s="57"/>
      <c r="M135" s="57"/>
      <c r="N135" s="53"/>
      <c r="O135" s="53"/>
      <c r="P135" s="53"/>
      <c r="Q135" s="53"/>
      <c r="R135" s="57"/>
      <c r="S135" s="53"/>
      <c r="T135" s="53"/>
      <c r="U135" s="685"/>
      <c r="V135" s="53"/>
      <c r="W135" s="53"/>
      <c r="X135" s="53"/>
      <c r="Y135" s="53"/>
      <c r="Z135" s="53"/>
      <c r="AA135" s="56"/>
      <c r="AB135" s="54"/>
      <c r="AC135" s="54"/>
      <c r="AD135" s="54"/>
      <c r="AE135" s="54"/>
    </row>
    <row r="136" s="130" customFormat="1" ht="11.25" customHeight="1">
      <c r="A136" s="684"/>
      <c r="B136" s="57"/>
      <c r="C136" s="57"/>
      <c r="D136" s="130"/>
      <c r="K136" s="53"/>
      <c r="L136" s="57"/>
      <c r="M136" s="57"/>
      <c r="N136" s="53"/>
      <c r="O136" s="53"/>
      <c r="P136" s="53"/>
      <c r="Q136" s="53"/>
      <c r="R136" s="57"/>
      <c r="S136" s="53"/>
      <c r="T136" s="53"/>
      <c r="U136" s="685"/>
      <c r="V136" s="53"/>
      <c r="W136" s="53"/>
      <c r="X136" s="53"/>
      <c r="Y136" s="53"/>
      <c r="Z136" s="53"/>
      <c r="AA136" s="56"/>
      <c r="AB136" s="54"/>
      <c r="AC136" s="54"/>
      <c r="AD136" s="54"/>
      <c r="AE136" s="54"/>
    </row>
    <row r="137" s="130" customFormat="1" ht="11.25" customHeight="1">
      <c r="A137" s="684"/>
      <c r="B137" s="57"/>
      <c r="C137" s="57"/>
      <c r="D137" s="130"/>
      <c r="K137" s="53"/>
      <c r="L137" s="57"/>
      <c r="M137" s="57"/>
      <c r="N137" s="53"/>
      <c r="O137" s="53"/>
      <c r="P137" s="53"/>
      <c r="Q137" s="53"/>
      <c r="R137" s="57"/>
      <c r="S137" s="53"/>
      <c r="T137" s="53"/>
      <c r="U137" s="685"/>
      <c r="V137" s="53"/>
      <c r="W137" s="53"/>
      <c r="X137" s="53"/>
      <c r="Y137" s="53"/>
      <c r="Z137" s="53"/>
      <c r="AA137" s="56"/>
      <c r="AB137" s="54"/>
      <c r="AC137" s="54"/>
      <c r="AD137" s="54"/>
      <c r="AE137" s="54"/>
    </row>
    <row r="138" s="130" customFormat="1" ht="11.25" customHeight="1">
      <c r="A138" s="684"/>
      <c r="B138" s="57"/>
      <c r="C138" s="57"/>
      <c r="D138" s="130"/>
      <c r="K138" s="53"/>
      <c r="L138" s="57"/>
      <c r="M138" s="57"/>
      <c r="N138" s="53"/>
      <c r="O138" s="53"/>
      <c r="P138" s="53"/>
      <c r="Q138" s="53"/>
      <c r="R138" s="57"/>
      <c r="S138" s="53"/>
      <c r="T138" s="53"/>
      <c r="U138" s="685"/>
      <c r="V138" s="53"/>
      <c r="W138" s="53"/>
      <c r="X138" s="53"/>
      <c r="Y138" s="53"/>
      <c r="Z138" s="53"/>
      <c r="AA138" s="56"/>
      <c r="AB138" s="54"/>
      <c r="AC138" s="54"/>
      <c r="AD138" s="54"/>
      <c r="AE138" s="54"/>
    </row>
    <row r="139" s="130" customFormat="1" ht="11.25" customHeight="1">
      <c r="A139" s="684"/>
      <c r="B139" s="57"/>
      <c r="C139" s="57"/>
      <c r="D139" s="130"/>
      <c r="K139" s="53"/>
      <c r="L139" s="57"/>
      <c r="M139" s="57"/>
      <c r="N139" s="53"/>
      <c r="O139" s="53"/>
      <c r="P139" s="53"/>
      <c r="Q139" s="53"/>
      <c r="R139" s="57"/>
      <c r="S139" s="53"/>
      <c r="T139" s="53"/>
      <c r="U139" s="685"/>
      <c r="V139" s="53"/>
      <c r="W139" s="53"/>
      <c r="X139" s="53"/>
      <c r="Y139" s="53"/>
      <c r="Z139" s="53"/>
      <c r="AA139" s="56"/>
      <c r="AB139" s="54"/>
      <c r="AC139" s="54"/>
      <c r="AD139" s="54"/>
      <c r="AE139" s="54"/>
    </row>
    <row r="140" s="130" customFormat="1" ht="11.25" customHeight="1">
      <c r="A140" s="684"/>
      <c r="B140" s="57"/>
      <c r="C140" s="57"/>
      <c r="D140" s="130"/>
      <c r="K140" s="53"/>
      <c r="L140" s="57"/>
      <c r="M140" s="57"/>
      <c r="N140" s="53"/>
      <c r="O140" s="53"/>
      <c r="P140" s="53"/>
      <c r="Q140" s="53"/>
      <c r="R140" s="57"/>
      <c r="S140" s="53"/>
      <c r="T140" s="53"/>
      <c r="U140" s="685"/>
      <c r="V140" s="53"/>
      <c r="W140" s="53"/>
      <c r="X140" s="53"/>
      <c r="Y140" s="53"/>
      <c r="Z140" s="53"/>
      <c r="AA140" s="56"/>
      <c r="AB140" s="54"/>
      <c r="AC140" s="54"/>
      <c r="AD140" s="54"/>
      <c r="AE140" s="54"/>
    </row>
    <row r="141" s="130" customFormat="1" ht="11.25" customHeight="1">
      <c r="A141" s="684"/>
      <c r="B141" s="57"/>
      <c r="C141" s="57"/>
      <c r="D141" s="130"/>
      <c r="K141" s="53"/>
      <c r="L141" s="57"/>
      <c r="M141" s="57"/>
      <c r="N141" s="53"/>
      <c r="O141" s="53"/>
      <c r="P141" s="53"/>
      <c r="Q141" s="53"/>
      <c r="R141" s="57"/>
      <c r="S141" s="53"/>
      <c r="T141" s="53"/>
      <c r="U141" s="685"/>
      <c r="V141" s="53"/>
      <c r="W141" s="53"/>
      <c r="X141" s="53"/>
      <c r="Y141" s="53"/>
      <c r="Z141" s="53"/>
      <c r="AA141" s="56"/>
      <c r="AB141" s="54"/>
      <c r="AC141" s="54"/>
      <c r="AD141" s="54"/>
      <c r="AE141" s="54"/>
    </row>
    <row r="142" s="130" customFormat="1" ht="11.25" customHeight="1">
      <c r="A142" s="684"/>
      <c r="B142" s="57"/>
      <c r="C142" s="57"/>
      <c r="D142" s="130"/>
      <c r="K142" s="53"/>
      <c r="L142" s="57"/>
      <c r="M142" s="57"/>
      <c r="N142" s="53"/>
      <c r="O142" s="53"/>
      <c r="P142" s="53"/>
      <c r="Q142" s="53"/>
      <c r="R142" s="57"/>
      <c r="S142" s="53"/>
      <c r="T142" s="53"/>
      <c r="U142" s="685"/>
      <c r="V142" s="53"/>
      <c r="W142" s="53"/>
      <c r="X142" s="53"/>
      <c r="Y142" s="53"/>
      <c r="Z142" s="53"/>
      <c r="AA142" s="56"/>
      <c r="AB142" s="54"/>
      <c r="AC142" s="54"/>
      <c r="AD142" s="54"/>
      <c r="AE142" s="54"/>
    </row>
    <row r="143" s="130" customFormat="1" ht="11.25" customHeight="1">
      <c r="A143" s="684"/>
      <c r="B143" s="57"/>
      <c r="C143" s="57"/>
      <c r="D143" s="130"/>
      <c r="K143" s="53"/>
      <c r="L143" s="57"/>
      <c r="M143" s="57"/>
      <c r="N143" s="53"/>
      <c r="O143" s="53"/>
      <c r="P143" s="53"/>
      <c r="Q143" s="53"/>
      <c r="R143" s="57"/>
      <c r="S143" s="53"/>
      <c r="T143" s="53"/>
      <c r="U143" s="685"/>
      <c r="V143" s="53"/>
      <c r="W143" s="53"/>
      <c r="X143" s="53"/>
      <c r="Y143" s="53"/>
      <c r="Z143" s="53"/>
      <c r="AA143" s="56"/>
      <c r="AB143" s="54"/>
      <c r="AC143" s="54"/>
      <c r="AD143" s="54"/>
      <c r="AE143" s="54"/>
    </row>
    <row r="144" s="130" customFormat="1" ht="11.25" customHeight="1">
      <c r="A144" s="684"/>
      <c r="B144" s="57"/>
      <c r="C144" s="57"/>
      <c r="D144" s="130"/>
      <c r="K144" s="53"/>
      <c r="L144" s="57"/>
      <c r="M144" s="57"/>
      <c r="N144" s="53"/>
      <c r="O144" s="53"/>
      <c r="P144" s="53"/>
      <c r="Q144" s="53"/>
      <c r="R144" s="57"/>
      <c r="S144" s="53"/>
      <c r="T144" s="53"/>
      <c r="U144" s="685"/>
      <c r="V144" s="53"/>
      <c r="W144" s="53"/>
      <c r="X144" s="53"/>
      <c r="Y144" s="53"/>
      <c r="Z144" s="53"/>
      <c r="AA144" s="56"/>
      <c r="AB144" s="54"/>
      <c r="AC144" s="54"/>
      <c r="AD144" s="54"/>
      <c r="AE144" s="54"/>
    </row>
    <row r="145" s="130" customFormat="1" ht="11.25" customHeight="1">
      <c r="A145" s="684"/>
      <c r="B145" s="57"/>
      <c r="C145" s="57"/>
      <c r="D145" s="130"/>
      <c r="K145" s="53"/>
      <c r="L145" s="57"/>
      <c r="M145" s="57"/>
      <c r="N145" s="53"/>
      <c r="O145" s="53"/>
      <c r="P145" s="53"/>
      <c r="Q145" s="53"/>
      <c r="R145" s="57"/>
      <c r="S145" s="53"/>
      <c r="T145" s="53"/>
      <c r="U145" s="685"/>
      <c r="V145" s="53"/>
      <c r="W145" s="53"/>
      <c r="X145" s="53"/>
      <c r="Y145" s="53"/>
      <c r="Z145" s="53"/>
      <c r="AA145" s="56"/>
      <c r="AB145" s="54"/>
      <c r="AC145" s="54"/>
      <c r="AD145" s="54"/>
      <c r="AE145" s="54"/>
    </row>
    <row r="146" s="130" customFormat="1" ht="11.25" customHeight="1">
      <c r="A146" s="684"/>
      <c r="B146" s="57"/>
      <c r="C146" s="57"/>
      <c r="D146" s="130"/>
      <c r="K146" s="53"/>
      <c r="L146" s="57"/>
      <c r="M146" s="57"/>
      <c r="N146" s="53"/>
      <c r="O146" s="53"/>
      <c r="P146" s="53"/>
      <c r="Q146" s="53"/>
      <c r="R146" s="57"/>
      <c r="S146" s="53"/>
      <c r="T146" s="53"/>
      <c r="U146" s="685"/>
      <c r="V146" s="53"/>
      <c r="W146" s="53"/>
      <c r="X146" s="53"/>
      <c r="Y146" s="53"/>
      <c r="Z146" s="53"/>
      <c r="AA146" s="56"/>
      <c r="AB146" s="54"/>
      <c r="AC146" s="54"/>
      <c r="AD146" s="54"/>
      <c r="AE146" s="54"/>
    </row>
    <row r="147" s="130" customFormat="1" ht="11.25" customHeight="1">
      <c r="A147" s="684"/>
      <c r="B147" s="57"/>
      <c r="C147" s="57"/>
      <c r="D147" s="130"/>
      <c r="K147" s="53"/>
      <c r="L147" s="57"/>
      <c r="M147" s="57"/>
      <c r="N147" s="53"/>
      <c r="O147" s="53"/>
      <c r="P147" s="53"/>
      <c r="Q147" s="53"/>
      <c r="R147" s="57"/>
      <c r="S147" s="53"/>
      <c r="T147" s="53"/>
      <c r="U147" s="685"/>
      <c r="V147" s="53"/>
      <c r="W147" s="53"/>
      <c r="X147" s="53"/>
      <c r="Y147" s="53"/>
      <c r="Z147" s="53"/>
      <c r="AA147" s="56"/>
      <c r="AB147" s="54"/>
      <c r="AC147" s="54"/>
      <c r="AD147" s="54"/>
      <c r="AE147" s="54"/>
    </row>
    <row r="148" s="130" customFormat="1" ht="11.25" customHeight="1">
      <c r="A148" s="684"/>
      <c r="B148" s="57"/>
      <c r="C148" s="57"/>
      <c r="D148" s="130"/>
      <c r="K148" s="53"/>
      <c r="L148" s="57"/>
      <c r="M148" s="57"/>
      <c r="N148" s="53"/>
      <c r="O148" s="53"/>
      <c r="P148" s="53"/>
      <c r="Q148" s="53"/>
      <c r="R148" s="57"/>
      <c r="S148" s="53"/>
      <c r="T148" s="53"/>
      <c r="U148" s="685"/>
      <c r="V148" s="53"/>
      <c r="W148" s="53"/>
      <c r="X148" s="53"/>
      <c r="Y148" s="53"/>
      <c r="Z148" s="53"/>
      <c r="AA148" s="56"/>
      <c r="AB148" s="54"/>
      <c r="AC148" s="54"/>
      <c r="AD148" s="54"/>
      <c r="AE148" s="54"/>
    </row>
    <row r="149" s="130" customFormat="1" ht="11.25" customHeight="1">
      <c r="A149" s="684"/>
      <c r="B149" s="57"/>
      <c r="C149" s="57"/>
      <c r="D149" s="130"/>
      <c r="K149" s="53"/>
      <c r="L149" s="57"/>
      <c r="M149" s="57"/>
      <c r="N149" s="53"/>
      <c r="O149" s="53"/>
      <c r="P149" s="53"/>
      <c r="Q149" s="53"/>
      <c r="R149" s="57"/>
      <c r="S149" s="53"/>
      <c r="T149" s="53"/>
      <c r="U149" s="685"/>
      <c r="V149" s="53"/>
      <c r="W149" s="53"/>
      <c r="X149" s="53"/>
      <c r="Y149" s="53"/>
      <c r="Z149" s="53"/>
      <c r="AA149" s="56"/>
      <c r="AB149" s="54"/>
      <c r="AC149" s="54"/>
      <c r="AD149" s="54"/>
      <c r="AE149" s="54"/>
    </row>
    <row r="150" s="130" customFormat="1" ht="11.25" customHeight="1">
      <c r="A150" s="684"/>
      <c r="B150" s="57"/>
      <c r="C150" s="57"/>
      <c r="D150" s="130"/>
      <c r="K150" s="53"/>
      <c r="L150" s="57"/>
      <c r="M150" s="57"/>
      <c r="N150" s="53"/>
      <c r="O150" s="53"/>
      <c r="P150" s="53"/>
      <c r="Q150" s="53"/>
      <c r="R150" s="57"/>
      <c r="S150" s="53"/>
      <c r="T150" s="53"/>
      <c r="U150" s="685"/>
      <c r="V150" s="53"/>
      <c r="W150" s="53"/>
      <c r="X150" s="53"/>
      <c r="Y150" s="53"/>
      <c r="Z150" s="53"/>
      <c r="AA150" s="56"/>
      <c r="AB150" s="54"/>
      <c r="AC150" s="54"/>
      <c r="AD150" s="54"/>
      <c r="AE150" s="54"/>
    </row>
    <row r="151" s="130" customFormat="1" ht="11.25" customHeight="1">
      <c r="A151" s="684"/>
      <c r="B151" s="57"/>
      <c r="C151" s="57"/>
      <c r="D151" s="130"/>
      <c r="K151" s="53"/>
      <c r="L151" s="57"/>
      <c r="M151" s="57"/>
      <c r="N151" s="53"/>
      <c r="O151" s="53"/>
      <c r="P151" s="53"/>
      <c r="Q151" s="53"/>
      <c r="R151" s="57"/>
      <c r="S151" s="53"/>
      <c r="T151" s="53"/>
      <c r="U151" s="685"/>
      <c r="V151" s="53"/>
      <c r="W151" s="53"/>
      <c r="X151" s="53"/>
      <c r="Y151" s="53"/>
      <c r="Z151" s="53"/>
      <c r="AA151" s="56"/>
      <c r="AB151" s="54"/>
      <c r="AC151" s="54"/>
      <c r="AD151" s="54"/>
      <c r="AE151" s="54"/>
    </row>
    <row r="152" s="130" customFormat="1" ht="11.25" customHeight="1">
      <c r="A152" s="684"/>
      <c r="B152" s="57"/>
      <c r="C152" s="57"/>
      <c r="D152" s="130"/>
      <c r="K152" s="53"/>
      <c r="L152" s="57"/>
      <c r="M152" s="57"/>
      <c r="N152" s="53"/>
      <c r="O152" s="53"/>
      <c r="P152" s="53"/>
      <c r="Q152" s="53"/>
      <c r="R152" s="57"/>
      <c r="S152" s="53"/>
      <c r="T152" s="53"/>
      <c r="U152" s="685"/>
      <c r="V152" s="53"/>
      <c r="W152" s="53"/>
      <c r="X152" s="53"/>
      <c r="Y152" s="53"/>
      <c r="Z152" s="53"/>
      <c r="AA152" s="56"/>
      <c r="AB152" s="54"/>
      <c r="AC152" s="54"/>
      <c r="AD152" s="54"/>
      <c r="AE152" s="54"/>
    </row>
    <row r="153" s="130" customFormat="1" ht="11.25" customHeight="1">
      <c r="A153" s="684"/>
      <c r="B153" s="57"/>
      <c r="C153" s="57"/>
      <c r="D153" s="130"/>
      <c r="K153" s="53"/>
      <c r="L153" s="57"/>
      <c r="M153" s="57"/>
      <c r="N153" s="53"/>
      <c r="O153" s="53"/>
      <c r="P153" s="53"/>
      <c r="Q153" s="53"/>
      <c r="R153" s="57"/>
      <c r="S153" s="53"/>
      <c r="T153" s="53"/>
      <c r="U153" s="685"/>
      <c r="V153" s="53"/>
      <c r="W153" s="53"/>
      <c r="X153" s="53"/>
      <c r="Y153" s="53"/>
      <c r="Z153" s="53"/>
      <c r="AA153" s="56"/>
      <c r="AB153" s="54"/>
      <c r="AC153" s="54"/>
      <c r="AD153" s="54"/>
      <c r="AE153" s="54"/>
    </row>
    <row r="154" s="130" customFormat="1" ht="11.25" customHeight="1">
      <c r="A154" s="684"/>
      <c r="B154" s="57"/>
      <c r="C154" s="57"/>
      <c r="D154" s="130"/>
      <c r="K154" s="53"/>
      <c r="L154" s="57"/>
      <c r="M154" s="57"/>
      <c r="N154" s="53"/>
      <c r="O154" s="53"/>
      <c r="P154" s="53"/>
      <c r="Q154" s="53"/>
      <c r="R154" s="57"/>
      <c r="S154" s="53"/>
      <c r="T154" s="53"/>
      <c r="U154" s="685"/>
      <c r="V154" s="53"/>
      <c r="W154" s="53"/>
      <c r="X154" s="53"/>
      <c r="Y154" s="53"/>
      <c r="Z154" s="53"/>
      <c r="AA154" s="56"/>
      <c r="AB154" s="54"/>
      <c r="AC154" s="54"/>
      <c r="AD154" s="54"/>
      <c r="AE154" s="54"/>
    </row>
    <row r="155" s="130" customFormat="1" ht="11.25" customHeight="1">
      <c r="A155" s="684"/>
      <c r="B155" s="57"/>
      <c r="C155" s="57"/>
      <c r="D155" s="130"/>
      <c r="K155" s="53"/>
      <c r="L155" s="57"/>
      <c r="M155" s="57"/>
      <c r="N155" s="53"/>
      <c r="O155" s="53"/>
      <c r="P155" s="53"/>
      <c r="Q155" s="53"/>
      <c r="R155" s="57"/>
      <c r="S155" s="53"/>
      <c r="T155" s="53"/>
      <c r="U155" s="685"/>
      <c r="V155" s="53"/>
      <c r="W155" s="53"/>
      <c r="X155" s="53"/>
      <c r="Y155" s="53"/>
      <c r="Z155" s="53"/>
      <c r="AA155" s="56"/>
      <c r="AB155" s="54"/>
      <c r="AC155" s="54"/>
      <c r="AD155" s="54"/>
      <c r="AE155" s="54"/>
    </row>
    <row r="156" s="130" customFormat="1" ht="11.25" customHeight="1">
      <c r="A156" s="684"/>
      <c r="B156" s="57"/>
      <c r="C156" s="57"/>
      <c r="D156" s="130"/>
      <c r="K156" s="53"/>
      <c r="L156" s="57"/>
      <c r="M156" s="57"/>
      <c r="N156" s="53"/>
      <c r="O156" s="53"/>
      <c r="P156" s="53"/>
      <c r="Q156" s="53"/>
      <c r="R156" s="57"/>
      <c r="S156" s="53"/>
      <c r="T156" s="53"/>
      <c r="U156" s="685"/>
      <c r="V156" s="53"/>
      <c r="W156" s="53"/>
      <c r="X156" s="53"/>
      <c r="Y156" s="53"/>
      <c r="Z156" s="53"/>
      <c r="AA156" s="56"/>
      <c r="AB156" s="54"/>
      <c r="AC156" s="54"/>
      <c r="AD156" s="54"/>
      <c r="AE156" s="54"/>
    </row>
    <row r="157" s="130" customFormat="1" ht="11.25" customHeight="1">
      <c r="A157" s="684"/>
      <c r="B157" s="57"/>
      <c r="C157" s="57"/>
      <c r="D157" s="130"/>
      <c r="K157" s="53"/>
      <c r="L157" s="57"/>
      <c r="M157" s="57"/>
      <c r="N157" s="53"/>
      <c r="O157" s="53"/>
      <c r="P157" s="53"/>
      <c r="Q157" s="53"/>
      <c r="R157" s="57"/>
      <c r="S157" s="53"/>
      <c r="T157" s="53"/>
      <c r="U157" s="685"/>
      <c r="V157" s="53"/>
      <c r="W157" s="53"/>
      <c r="X157" s="53"/>
      <c r="Y157" s="53"/>
      <c r="Z157" s="53"/>
      <c r="AA157" s="56"/>
      <c r="AB157" s="54"/>
      <c r="AC157" s="54"/>
      <c r="AD157" s="54"/>
      <c r="AE157" s="54"/>
    </row>
    <row r="158" s="130" customFormat="1" ht="11.25" customHeight="1">
      <c r="A158" s="684"/>
      <c r="B158" s="57"/>
      <c r="C158" s="57"/>
      <c r="D158" s="130"/>
      <c r="K158" s="53"/>
      <c r="L158" s="57"/>
      <c r="M158" s="57"/>
      <c r="N158" s="53"/>
      <c r="O158" s="53"/>
      <c r="P158" s="53"/>
      <c r="Q158" s="53"/>
      <c r="R158" s="57"/>
      <c r="S158" s="53"/>
      <c r="T158" s="53"/>
      <c r="U158" s="685"/>
      <c r="V158" s="53"/>
      <c r="W158" s="53"/>
      <c r="X158" s="53"/>
      <c r="Y158" s="53"/>
      <c r="Z158" s="53"/>
      <c r="AA158" s="56"/>
      <c r="AB158" s="54"/>
      <c r="AC158" s="54"/>
      <c r="AD158" s="54"/>
      <c r="AE158" s="54"/>
    </row>
    <row r="159" s="130" customFormat="1" ht="11.25" customHeight="1">
      <c r="A159" s="684"/>
      <c r="B159" s="57"/>
      <c r="C159" s="57"/>
      <c r="D159" s="130"/>
      <c r="K159" s="53"/>
      <c r="L159" s="57"/>
      <c r="M159" s="57"/>
      <c r="N159" s="53"/>
      <c r="O159" s="53"/>
      <c r="P159" s="53"/>
      <c r="Q159" s="53"/>
      <c r="R159" s="57"/>
      <c r="S159" s="53"/>
      <c r="T159" s="53"/>
      <c r="U159" s="685"/>
      <c r="V159" s="53"/>
      <c r="W159" s="53"/>
      <c r="X159" s="53"/>
      <c r="Y159" s="53"/>
      <c r="Z159" s="53"/>
      <c r="AA159" s="56"/>
      <c r="AB159" s="54"/>
      <c r="AC159" s="54"/>
      <c r="AD159" s="54"/>
      <c r="AE159" s="54"/>
    </row>
    <row r="160" s="130" customFormat="1" ht="11.25" customHeight="1">
      <c r="A160" s="684"/>
      <c r="B160" s="57"/>
      <c r="C160" s="57"/>
      <c r="D160" s="130"/>
      <c r="K160" s="53"/>
      <c r="L160" s="57"/>
      <c r="M160" s="57"/>
      <c r="N160" s="53"/>
      <c r="O160" s="53"/>
      <c r="P160" s="53"/>
      <c r="Q160" s="53"/>
      <c r="R160" s="57"/>
      <c r="S160" s="53"/>
      <c r="T160" s="53"/>
      <c r="U160" s="685"/>
      <c r="V160" s="53"/>
      <c r="W160" s="53"/>
      <c r="X160" s="53"/>
      <c r="Y160" s="53"/>
      <c r="Z160" s="53"/>
      <c r="AA160" s="56"/>
      <c r="AB160" s="54"/>
      <c r="AC160" s="54"/>
      <c r="AD160" s="54"/>
      <c r="AE160" s="54"/>
    </row>
    <row r="161" s="130" customFormat="1" ht="11.25" customHeight="1">
      <c r="A161" s="684"/>
      <c r="B161" s="57"/>
      <c r="C161" s="57"/>
      <c r="D161" s="130"/>
      <c r="K161" s="53"/>
      <c r="L161" s="57"/>
      <c r="M161" s="57"/>
      <c r="N161" s="53"/>
      <c r="O161" s="53"/>
      <c r="P161" s="53"/>
      <c r="Q161" s="53"/>
      <c r="R161" s="57"/>
      <c r="S161" s="53"/>
      <c r="T161" s="53"/>
      <c r="U161" s="685"/>
      <c r="V161" s="53"/>
      <c r="W161" s="53"/>
      <c r="X161" s="53"/>
      <c r="Y161" s="53"/>
      <c r="Z161" s="53"/>
      <c r="AA161" s="56"/>
      <c r="AB161" s="54"/>
      <c r="AC161" s="54"/>
      <c r="AD161" s="54"/>
      <c r="AE161" s="54"/>
    </row>
    <row r="162" s="130" customFormat="1" ht="11.25" customHeight="1">
      <c r="A162" s="684"/>
      <c r="B162" s="57"/>
      <c r="C162" s="57"/>
      <c r="D162" s="130"/>
      <c r="K162" s="53"/>
      <c r="L162" s="57"/>
      <c r="M162" s="57"/>
      <c r="N162" s="53"/>
      <c r="O162" s="53"/>
      <c r="P162" s="53"/>
      <c r="Q162" s="53"/>
      <c r="R162" s="57"/>
      <c r="S162" s="53"/>
      <c r="T162" s="53"/>
      <c r="U162" s="685"/>
      <c r="V162" s="53"/>
      <c r="W162" s="53"/>
      <c r="X162" s="53"/>
      <c r="Y162" s="53"/>
      <c r="Z162" s="53"/>
      <c r="AA162" s="56"/>
      <c r="AB162" s="54"/>
      <c r="AC162" s="54"/>
      <c r="AD162" s="54"/>
      <c r="AE162" s="54"/>
    </row>
    <row r="163" s="130" customFormat="1" ht="11.25" customHeight="1">
      <c r="A163" s="684"/>
      <c r="B163" s="57"/>
      <c r="C163" s="57"/>
      <c r="D163" s="130"/>
      <c r="K163" s="53"/>
      <c r="L163" s="57"/>
      <c r="M163" s="57"/>
      <c r="N163" s="53"/>
      <c r="O163" s="53"/>
      <c r="P163" s="53"/>
      <c r="Q163" s="53"/>
      <c r="R163" s="57"/>
      <c r="S163" s="53"/>
      <c r="T163" s="53"/>
      <c r="U163" s="685"/>
      <c r="V163" s="53"/>
      <c r="W163" s="53"/>
      <c r="X163" s="53"/>
      <c r="Y163" s="53"/>
      <c r="Z163" s="53"/>
      <c r="AA163" s="56"/>
      <c r="AB163" s="54"/>
      <c r="AC163" s="54"/>
      <c r="AD163" s="54"/>
      <c r="AE163" s="54"/>
    </row>
    <row r="164" s="130" customFormat="1" ht="11.25" customHeight="1">
      <c r="A164" s="684"/>
      <c r="B164" s="57"/>
      <c r="C164" s="57"/>
      <c r="D164" s="130"/>
      <c r="K164" s="53"/>
      <c r="L164" s="57"/>
      <c r="M164" s="57"/>
      <c r="N164" s="53"/>
      <c r="O164" s="53"/>
      <c r="P164" s="53"/>
      <c r="Q164" s="53"/>
      <c r="R164" s="57"/>
      <c r="S164" s="53"/>
      <c r="T164" s="53"/>
      <c r="U164" s="685"/>
      <c r="V164" s="53"/>
      <c r="W164" s="53"/>
      <c r="X164" s="53"/>
      <c r="Y164" s="53"/>
      <c r="Z164" s="53"/>
      <c r="AA164" s="56"/>
      <c r="AB164" s="54"/>
      <c r="AC164" s="54"/>
      <c r="AD164" s="54"/>
      <c r="AE164" s="54"/>
    </row>
    <row r="165" s="130" customFormat="1" ht="11.25" customHeight="1">
      <c r="A165" s="684"/>
      <c r="B165" s="57"/>
      <c r="C165" s="57"/>
      <c r="D165" s="130"/>
      <c r="K165" s="53"/>
      <c r="L165" s="57"/>
      <c r="M165" s="57"/>
      <c r="N165" s="53"/>
      <c r="O165" s="53"/>
      <c r="P165" s="53"/>
      <c r="Q165" s="53"/>
      <c r="R165" s="57"/>
      <c r="S165" s="53"/>
      <c r="T165" s="53"/>
      <c r="U165" s="685"/>
      <c r="V165" s="53"/>
      <c r="W165" s="53"/>
      <c r="X165" s="53"/>
      <c r="Y165" s="53"/>
      <c r="Z165" s="53"/>
      <c r="AA165" s="56"/>
      <c r="AB165" s="54"/>
      <c r="AC165" s="54"/>
      <c r="AD165" s="54"/>
      <c r="AE165" s="54"/>
    </row>
    <row r="166" s="130" customFormat="1" ht="11.25" customHeight="1">
      <c r="A166" s="684"/>
      <c r="B166" s="57"/>
      <c r="C166" s="57"/>
      <c r="D166" s="130"/>
      <c r="K166" s="53"/>
      <c r="L166" s="57"/>
      <c r="M166" s="57"/>
      <c r="N166" s="53"/>
      <c r="O166" s="53"/>
      <c r="P166" s="53"/>
      <c r="Q166" s="53"/>
      <c r="R166" s="57"/>
      <c r="S166" s="53"/>
      <c r="T166" s="53"/>
      <c r="U166" s="685"/>
      <c r="V166" s="53"/>
      <c r="W166" s="53"/>
      <c r="X166" s="53"/>
      <c r="Y166" s="53"/>
      <c r="Z166" s="53"/>
      <c r="AA166" s="56"/>
      <c r="AB166" s="54"/>
      <c r="AC166" s="54"/>
      <c r="AD166" s="54"/>
      <c r="AE166" s="54"/>
    </row>
    <row r="167" s="130" customFormat="1" ht="11.25" customHeight="1">
      <c r="A167" s="684"/>
      <c r="B167" s="57"/>
      <c r="C167" s="57"/>
      <c r="D167" s="130"/>
      <c r="K167" s="53"/>
      <c r="L167" s="57"/>
      <c r="M167" s="57"/>
      <c r="N167" s="53"/>
      <c r="O167" s="53"/>
      <c r="P167" s="53"/>
      <c r="Q167" s="53"/>
      <c r="R167" s="57"/>
      <c r="S167" s="53"/>
      <c r="T167" s="53"/>
      <c r="U167" s="685"/>
      <c r="V167" s="53"/>
      <c r="W167" s="53"/>
      <c r="X167" s="53"/>
      <c r="Y167" s="53"/>
      <c r="Z167" s="53"/>
      <c r="AA167" s="56"/>
      <c r="AB167" s="54"/>
      <c r="AC167" s="54"/>
      <c r="AD167" s="54"/>
      <c r="AE167" s="54"/>
    </row>
    <row r="168" s="130" customFormat="1" ht="11.25" customHeight="1">
      <c r="A168" s="684"/>
      <c r="B168" s="57"/>
      <c r="C168" s="57"/>
      <c r="D168" s="130"/>
      <c r="K168" s="53"/>
      <c r="L168" s="57"/>
      <c r="M168" s="57"/>
      <c r="N168" s="53"/>
      <c r="O168" s="53"/>
      <c r="P168" s="53"/>
      <c r="Q168" s="53"/>
      <c r="R168" s="57"/>
      <c r="S168" s="53"/>
      <c r="T168" s="53"/>
      <c r="U168" s="685"/>
      <c r="V168" s="53"/>
      <c r="W168" s="53"/>
      <c r="X168" s="53"/>
      <c r="Y168" s="53"/>
      <c r="Z168" s="53"/>
      <c r="AA168" s="56"/>
      <c r="AB168" s="54"/>
      <c r="AC168" s="54"/>
      <c r="AD168" s="54"/>
      <c r="AE168" s="54"/>
    </row>
    <row r="169" s="130" customFormat="1" ht="11.25" customHeight="1">
      <c r="A169" s="684"/>
      <c r="B169" s="57"/>
      <c r="C169" s="57"/>
      <c r="D169" s="130"/>
      <c r="K169" s="53"/>
      <c r="L169" s="57"/>
      <c r="M169" s="57"/>
      <c r="N169" s="53"/>
      <c r="O169" s="53"/>
      <c r="P169" s="53"/>
      <c r="Q169" s="53"/>
      <c r="R169" s="57"/>
      <c r="S169" s="53"/>
      <c r="T169" s="53"/>
      <c r="U169" s="685"/>
      <c r="V169" s="53"/>
      <c r="W169" s="53"/>
      <c r="X169" s="53"/>
      <c r="Y169" s="53"/>
      <c r="Z169" s="53"/>
      <c r="AA169" s="56"/>
      <c r="AB169" s="54"/>
      <c r="AC169" s="54"/>
      <c r="AD169" s="54"/>
      <c r="AE169" s="54"/>
    </row>
    <row r="170" s="130" customFormat="1" ht="11.25" customHeight="1">
      <c r="A170" s="684"/>
      <c r="B170" s="57"/>
      <c r="C170" s="57"/>
      <c r="D170" s="130"/>
      <c r="K170" s="53"/>
      <c r="L170" s="57"/>
      <c r="M170" s="57"/>
      <c r="N170" s="53"/>
      <c r="O170" s="53"/>
      <c r="P170" s="53"/>
      <c r="Q170" s="53"/>
      <c r="R170" s="57"/>
      <c r="S170" s="53"/>
      <c r="T170" s="53"/>
      <c r="U170" s="685"/>
      <c r="V170" s="53"/>
      <c r="W170" s="53"/>
      <c r="X170" s="53"/>
      <c r="Y170" s="53"/>
      <c r="Z170" s="53"/>
      <c r="AA170" s="56"/>
      <c r="AB170" s="54"/>
      <c r="AC170" s="54"/>
      <c r="AD170" s="54"/>
      <c r="AE170" s="54"/>
    </row>
    <row r="171" s="130" customFormat="1" ht="11.25" customHeight="1">
      <c r="A171" s="684"/>
      <c r="B171" s="57"/>
      <c r="C171" s="57"/>
      <c r="D171" s="130"/>
      <c r="K171" s="53"/>
      <c r="L171" s="57"/>
      <c r="M171" s="57"/>
      <c r="N171" s="53"/>
      <c r="O171" s="53"/>
      <c r="P171" s="53"/>
      <c r="Q171" s="53"/>
      <c r="R171" s="57"/>
      <c r="S171" s="53"/>
      <c r="T171" s="53"/>
      <c r="U171" s="685"/>
      <c r="V171" s="53"/>
      <c r="W171" s="53"/>
      <c r="X171" s="53"/>
      <c r="Y171" s="53"/>
      <c r="Z171" s="53"/>
      <c r="AA171" s="56"/>
      <c r="AB171" s="54"/>
      <c r="AC171" s="54"/>
      <c r="AD171" s="54"/>
      <c r="AE171" s="54"/>
    </row>
    <row r="172" s="130" customFormat="1" ht="11.25" customHeight="1">
      <c r="A172" s="684"/>
      <c r="B172" s="57"/>
      <c r="C172" s="57"/>
      <c r="D172" s="130"/>
      <c r="K172" s="53"/>
      <c r="L172" s="57"/>
      <c r="M172" s="57"/>
      <c r="N172" s="53"/>
      <c r="O172" s="53"/>
      <c r="P172" s="53"/>
      <c r="Q172" s="53"/>
      <c r="R172" s="57"/>
      <c r="S172" s="53"/>
      <c r="T172" s="53"/>
      <c r="U172" s="685"/>
      <c r="V172" s="53"/>
      <c r="W172" s="53"/>
      <c r="X172" s="53"/>
      <c r="Y172" s="53"/>
      <c r="Z172" s="53"/>
      <c r="AA172" s="56"/>
      <c r="AB172" s="54"/>
      <c r="AC172" s="54"/>
      <c r="AD172" s="54"/>
      <c r="AE172" s="54"/>
    </row>
    <row r="173" s="130" customFormat="1" ht="11.25" customHeight="1">
      <c r="A173" s="684"/>
      <c r="B173" s="57"/>
      <c r="C173" s="57"/>
      <c r="D173" s="130"/>
      <c r="K173" s="53"/>
      <c r="L173" s="57"/>
      <c r="M173" s="57"/>
      <c r="N173" s="53"/>
      <c r="O173" s="53"/>
      <c r="P173" s="53"/>
      <c r="Q173" s="53"/>
      <c r="R173" s="57"/>
      <c r="S173" s="53"/>
      <c r="T173" s="53"/>
      <c r="U173" s="685"/>
      <c r="V173" s="53"/>
      <c r="W173" s="53"/>
      <c r="X173" s="53"/>
      <c r="Y173" s="53"/>
      <c r="Z173" s="53"/>
      <c r="AA173" s="56"/>
      <c r="AB173" s="54"/>
      <c r="AC173" s="54"/>
      <c r="AD173" s="54"/>
      <c r="AE173" s="54"/>
    </row>
    <row r="174" s="130" customFormat="1" ht="11.25" customHeight="1">
      <c r="A174" s="684"/>
      <c r="B174" s="57"/>
      <c r="C174" s="57"/>
      <c r="D174" s="130"/>
      <c r="K174" s="53"/>
      <c r="L174" s="57"/>
      <c r="M174" s="57"/>
      <c r="N174" s="53"/>
      <c r="O174" s="53"/>
      <c r="P174" s="53"/>
      <c r="Q174" s="53"/>
      <c r="R174" s="57"/>
      <c r="S174" s="53"/>
      <c r="T174" s="53"/>
      <c r="U174" s="685"/>
      <c r="V174" s="53"/>
      <c r="W174" s="53"/>
      <c r="X174" s="53"/>
      <c r="Y174" s="53"/>
      <c r="Z174" s="53"/>
      <c r="AA174" s="56"/>
      <c r="AB174" s="54"/>
      <c r="AC174" s="54"/>
      <c r="AD174" s="54"/>
      <c r="AE174" s="54"/>
    </row>
    <row r="175" s="130" customFormat="1" ht="11.25" customHeight="1">
      <c r="A175" s="684"/>
      <c r="B175" s="57"/>
      <c r="C175" s="57"/>
      <c r="D175" s="130"/>
      <c r="K175" s="53"/>
      <c r="L175" s="57"/>
      <c r="M175" s="57"/>
      <c r="N175" s="53"/>
      <c r="O175" s="53"/>
      <c r="P175" s="53"/>
      <c r="Q175" s="53"/>
      <c r="R175" s="57"/>
      <c r="S175" s="53"/>
      <c r="T175" s="53"/>
      <c r="U175" s="685"/>
      <c r="V175" s="53"/>
      <c r="W175" s="53"/>
      <c r="X175" s="53"/>
      <c r="Y175" s="53"/>
      <c r="Z175" s="53"/>
      <c r="AA175" s="56"/>
      <c r="AB175" s="54"/>
      <c r="AC175" s="54"/>
      <c r="AD175" s="54"/>
      <c r="AE175" s="54"/>
    </row>
    <row r="176" s="130" customFormat="1" ht="11.25" customHeight="1">
      <c r="A176" s="684"/>
      <c r="B176" s="57"/>
      <c r="C176" s="57"/>
      <c r="D176" s="130"/>
      <c r="K176" s="53"/>
      <c r="L176" s="57"/>
      <c r="M176" s="57"/>
      <c r="N176" s="53"/>
      <c r="O176" s="53"/>
      <c r="P176" s="53"/>
      <c r="Q176" s="53"/>
      <c r="R176" s="57"/>
      <c r="S176" s="53"/>
      <c r="T176" s="53"/>
      <c r="U176" s="685"/>
      <c r="V176" s="53"/>
      <c r="W176" s="53"/>
      <c r="X176" s="53"/>
      <c r="Y176" s="53"/>
      <c r="Z176" s="53"/>
      <c r="AA176" s="56"/>
      <c r="AB176" s="54"/>
      <c r="AC176" s="54"/>
      <c r="AD176" s="54"/>
      <c r="AE176" s="54"/>
    </row>
    <row r="177" s="130" customFormat="1" ht="11.25" customHeight="1">
      <c r="A177" s="684"/>
      <c r="B177" s="57"/>
      <c r="C177" s="57"/>
      <c r="D177" s="130"/>
      <c r="K177" s="53"/>
      <c r="L177" s="57"/>
      <c r="M177" s="57"/>
      <c r="N177" s="53"/>
      <c r="O177" s="53"/>
      <c r="P177" s="53"/>
      <c r="Q177" s="53"/>
      <c r="R177" s="57"/>
      <c r="S177" s="53"/>
      <c r="T177" s="53"/>
      <c r="U177" s="685"/>
      <c r="V177" s="53"/>
      <c r="W177" s="53"/>
      <c r="X177" s="53"/>
      <c r="Y177" s="53"/>
      <c r="Z177" s="53"/>
      <c r="AA177" s="56"/>
      <c r="AB177" s="54"/>
      <c r="AC177" s="54"/>
      <c r="AD177" s="54"/>
      <c r="AE177" s="54"/>
    </row>
    <row r="178" s="130" customFormat="1" ht="11.25" customHeight="1">
      <c r="A178" s="684"/>
      <c r="B178" s="57"/>
      <c r="C178" s="57"/>
      <c r="D178" s="130"/>
      <c r="K178" s="53"/>
      <c r="L178" s="57"/>
      <c r="M178" s="57"/>
      <c r="N178" s="53"/>
      <c r="O178" s="53"/>
      <c r="P178" s="53"/>
      <c r="Q178" s="53"/>
      <c r="R178" s="57"/>
      <c r="S178" s="53"/>
      <c r="T178" s="53"/>
      <c r="U178" s="685"/>
      <c r="V178" s="53"/>
      <c r="W178" s="53"/>
      <c r="X178" s="53"/>
      <c r="Y178" s="53"/>
      <c r="Z178" s="53"/>
      <c r="AA178" s="56"/>
      <c r="AB178" s="54"/>
      <c r="AC178" s="54"/>
      <c r="AD178" s="54"/>
      <c r="AE178" s="54"/>
    </row>
    <row r="179" s="130" customFormat="1" ht="11.25" customHeight="1">
      <c r="A179" s="684"/>
      <c r="B179" s="57"/>
      <c r="C179" s="57"/>
      <c r="D179" s="130"/>
      <c r="K179" s="53"/>
      <c r="L179" s="57"/>
      <c r="M179" s="57"/>
      <c r="N179" s="53"/>
      <c r="O179" s="53"/>
      <c r="P179" s="53"/>
      <c r="Q179" s="53"/>
      <c r="R179" s="57"/>
      <c r="S179" s="53"/>
      <c r="T179" s="53"/>
      <c r="U179" s="685"/>
      <c r="V179" s="53"/>
      <c r="W179" s="53"/>
      <c r="X179" s="53"/>
      <c r="Y179" s="53"/>
      <c r="Z179" s="53"/>
      <c r="AA179" s="56"/>
      <c r="AB179" s="54"/>
      <c r="AC179" s="54"/>
      <c r="AD179" s="54"/>
      <c r="AE179" s="54"/>
    </row>
    <row r="180" s="130" customFormat="1" ht="11.25" customHeight="1">
      <c r="A180" s="684"/>
      <c r="B180" s="57"/>
      <c r="C180" s="57"/>
      <c r="D180" s="130"/>
      <c r="K180" s="53"/>
      <c r="L180" s="57"/>
      <c r="M180" s="57"/>
      <c r="N180" s="53"/>
      <c r="O180" s="53"/>
      <c r="P180" s="53"/>
      <c r="Q180" s="53"/>
      <c r="R180" s="57"/>
      <c r="S180" s="53"/>
      <c r="T180" s="53"/>
      <c r="U180" s="685"/>
      <c r="V180" s="53"/>
      <c r="W180" s="53"/>
      <c r="X180" s="53"/>
      <c r="Y180" s="53"/>
      <c r="Z180" s="53"/>
      <c r="AA180" s="56"/>
      <c r="AB180" s="54"/>
      <c r="AC180" s="54"/>
      <c r="AD180" s="54"/>
      <c r="AE180" s="54"/>
    </row>
    <row r="181" s="130" customFormat="1" ht="11.25" customHeight="1">
      <c r="A181" s="684"/>
      <c r="B181" s="57"/>
      <c r="C181" s="57"/>
      <c r="D181" s="130"/>
      <c r="K181" s="53"/>
      <c r="L181" s="57"/>
      <c r="M181" s="57"/>
      <c r="N181" s="53"/>
      <c r="O181" s="53"/>
      <c r="P181" s="53"/>
      <c r="Q181" s="53"/>
      <c r="R181" s="57"/>
      <c r="S181" s="53"/>
      <c r="T181" s="53"/>
      <c r="U181" s="685"/>
      <c r="V181" s="53"/>
      <c r="W181" s="53"/>
      <c r="X181" s="53"/>
      <c r="Y181" s="53"/>
      <c r="Z181" s="53"/>
      <c r="AA181" s="56"/>
      <c r="AB181" s="54"/>
      <c r="AC181" s="54"/>
      <c r="AD181" s="54"/>
      <c r="AE181" s="54"/>
    </row>
    <row r="182" s="130" customFormat="1" ht="11.25" customHeight="1">
      <c r="A182" s="684"/>
      <c r="B182" s="57"/>
      <c r="C182" s="57"/>
      <c r="D182" s="130"/>
      <c r="K182" s="53"/>
      <c r="L182" s="57"/>
      <c r="M182" s="57"/>
      <c r="N182" s="53"/>
      <c r="O182" s="53"/>
      <c r="P182" s="53"/>
      <c r="Q182" s="53"/>
      <c r="R182" s="57"/>
      <c r="S182" s="53"/>
      <c r="T182" s="53"/>
      <c r="U182" s="685"/>
      <c r="V182" s="53"/>
      <c r="W182" s="53"/>
      <c r="X182" s="53"/>
      <c r="Y182" s="53"/>
      <c r="Z182" s="53"/>
      <c r="AA182" s="56"/>
      <c r="AB182" s="54"/>
      <c r="AC182" s="54"/>
      <c r="AD182" s="54"/>
      <c r="AE182" s="54"/>
    </row>
    <row r="183" s="130" customFormat="1" ht="11.25" customHeight="1">
      <c r="A183" s="684"/>
      <c r="B183" s="57"/>
      <c r="C183" s="57"/>
      <c r="D183" s="130"/>
      <c r="K183" s="53"/>
      <c r="L183" s="57"/>
      <c r="M183" s="57"/>
      <c r="N183" s="53"/>
      <c r="O183" s="53"/>
      <c r="P183" s="53"/>
      <c r="Q183" s="53"/>
      <c r="R183" s="57"/>
      <c r="S183" s="53"/>
      <c r="T183" s="53"/>
      <c r="U183" s="685"/>
      <c r="V183" s="53"/>
      <c r="W183" s="53"/>
      <c r="X183" s="53"/>
      <c r="Y183" s="53"/>
      <c r="Z183" s="53"/>
      <c r="AA183" s="56"/>
      <c r="AB183" s="54"/>
      <c r="AC183" s="54"/>
      <c r="AD183" s="54"/>
      <c r="AE183" s="54"/>
    </row>
    <row r="184" s="130" customFormat="1" ht="11.25" customHeight="1">
      <c r="A184" s="684"/>
      <c r="B184" s="57"/>
      <c r="C184" s="57"/>
      <c r="D184" s="130"/>
      <c r="K184" s="53"/>
      <c r="L184" s="57"/>
      <c r="M184" s="57"/>
      <c r="N184" s="53"/>
      <c r="O184" s="53"/>
      <c r="P184" s="53"/>
      <c r="Q184" s="53"/>
      <c r="R184" s="57"/>
      <c r="S184" s="53"/>
      <c r="T184" s="53"/>
      <c r="U184" s="685"/>
      <c r="V184" s="53"/>
      <c r="W184" s="53"/>
      <c r="X184" s="53"/>
      <c r="Y184" s="53"/>
      <c r="Z184" s="53"/>
      <c r="AA184" s="56"/>
      <c r="AB184" s="54"/>
      <c r="AC184" s="54"/>
      <c r="AD184" s="54"/>
      <c r="AE184" s="54"/>
    </row>
    <row r="185" s="130" customFormat="1" ht="11.25" customHeight="1">
      <c r="A185" s="684"/>
      <c r="B185" s="57"/>
      <c r="C185" s="57"/>
      <c r="D185" s="130"/>
      <c r="K185" s="53"/>
      <c r="L185" s="57"/>
      <c r="M185" s="57"/>
      <c r="N185" s="53"/>
      <c r="O185" s="53"/>
      <c r="P185" s="53"/>
      <c r="Q185" s="53"/>
      <c r="R185" s="57"/>
      <c r="S185" s="53"/>
      <c r="T185" s="53"/>
      <c r="U185" s="685"/>
      <c r="V185" s="53"/>
      <c r="W185" s="53"/>
      <c r="X185" s="53"/>
      <c r="Y185" s="53"/>
      <c r="Z185" s="53"/>
      <c r="AA185" s="56"/>
      <c r="AB185" s="54"/>
      <c r="AC185" s="54"/>
      <c r="AD185" s="54"/>
      <c r="AE185" s="54"/>
    </row>
    <row r="186" s="130" customFormat="1" ht="11.25" customHeight="1">
      <c r="A186" s="684"/>
      <c r="B186" s="57"/>
      <c r="C186" s="57"/>
      <c r="D186" s="130"/>
      <c r="K186" s="53"/>
      <c r="L186" s="57"/>
      <c r="M186" s="57"/>
      <c r="N186" s="53"/>
      <c r="O186" s="53"/>
      <c r="P186" s="53"/>
      <c r="Q186" s="53"/>
      <c r="R186" s="57"/>
      <c r="S186" s="53"/>
      <c r="T186" s="53"/>
      <c r="U186" s="685"/>
      <c r="V186" s="53"/>
      <c r="W186" s="53"/>
      <c r="X186" s="53"/>
      <c r="Y186" s="53"/>
      <c r="Z186" s="53"/>
      <c r="AA186" s="56"/>
      <c r="AB186" s="54"/>
      <c r="AC186" s="54"/>
      <c r="AD186" s="54"/>
      <c r="AE186" s="54"/>
    </row>
    <row r="187" s="130" customFormat="1" ht="11.25" customHeight="1">
      <c r="A187" s="684"/>
      <c r="B187" s="57"/>
      <c r="C187" s="57"/>
      <c r="D187" s="130"/>
      <c r="K187" s="53"/>
      <c r="L187" s="57"/>
      <c r="M187" s="57"/>
      <c r="N187" s="53"/>
      <c r="O187" s="53"/>
      <c r="P187" s="53"/>
      <c r="Q187" s="53"/>
      <c r="R187" s="57"/>
      <c r="S187" s="53"/>
      <c r="T187" s="53"/>
      <c r="U187" s="685"/>
      <c r="V187" s="53"/>
      <c r="W187" s="53"/>
      <c r="X187" s="53"/>
      <c r="Y187" s="53"/>
      <c r="Z187" s="53"/>
      <c r="AA187" s="56"/>
      <c r="AB187" s="54"/>
      <c r="AC187" s="54"/>
      <c r="AD187" s="54"/>
      <c r="AE187" s="54"/>
    </row>
    <row r="188" s="130" customFormat="1" ht="11.25" customHeight="1">
      <c r="A188" s="684"/>
      <c r="B188" s="57"/>
      <c r="C188" s="57"/>
      <c r="D188" s="130"/>
      <c r="K188" s="53"/>
      <c r="L188" s="57"/>
      <c r="M188" s="57"/>
      <c r="N188" s="53"/>
      <c r="O188" s="53"/>
      <c r="P188" s="53"/>
      <c r="Q188" s="53"/>
      <c r="R188" s="57"/>
      <c r="S188" s="53"/>
      <c r="T188" s="53"/>
      <c r="U188" s="685"/>
      <c r="V188" s="53"/>
      <c r="W188" s="53"/>
      <c r="X188" s="53"/>
      <c r="Y188" s="53"/>
      <c r="Z188" s="53"/>
      <c r="AA188" s="56"/>
      <c r="AB188" s="54"/>
      <c r="AC188" s="54"/>
      <c r="AD188" s="54"/>
      <c r="AE188" s="54"/>
    </row>
    <row r="189" s="130" customFormat="1" ht="11.25" customHeight="1">
      <c r="A189" s="684"/>
      <c r="B189" s="57"/>
      <c r="C189" s="57"/>
      <c r="D189" s="130"/>
      <c r="K189" s="53"/>
      <c r="L189" s="57"/>
      <c r="M189" s="57"/>
      <c r="N189" s="53"/>
      <c r="O189" s="53"/>
      <c r="P189" s="53"/>
      <c r="Q189" s="53"/>
      <c r="R189" s="57"/>
      <c r="S189" s="53"/>
      <c r="T189" s="53"/>
      <c r="U189" s="685"/>
      <c r="V189" s="53"/>
      <c r="W189" s="53"/>
      <c r="X189" s="53"/>
      <c r="Y189" s="53"/>
      <c r="Z189" s="53"/>
      <c r="AA189" s="56"/>
      <c r="AB189" s="54"/>
      <c r="AC189" s="54"/>
      <c r="AD189" s="54"/>
      <c r="AE189" s="54"/>
    </row>
    <row r="190" s="130" customFormat="1" ht="11.25" customHeight="1">
      <c r="A190" s="684"/>
      <c r="B190" s="57"/>
      <c r="C190" s="57"/>
      <c r="D190" s="130"/>
      <c r="K190" s="53"/>
      <c r="L190" s="57"/>
      <c r="M190" s="57"/>
      <c r="N190" s="53"/>
      <c r="O190" s="53"/>
      <c r="P190" s="53"/>
      <c r="Q190" s="53"/>
      <c r="R190" s="57"/>
      <c r="S190" s="53"/>
      <c r="T190" s="53"/>
      <c r="U190" s="685"/>
      <c r="V190" s="53"/>
      <c r="W190" s="53"/>
      <c r="X190" s="53"/>
      <c r="Y190" s="53"/>
      <c r="Z190" s="53"/>
      <c r="AA190" s="56"/>
      <c r="AB190" s="54"/>
      <c r="AC190" s="54"/>
      <c r="AD190" s="54"/>
      <c r="AE190" s="54"/>
    </row>
    <row r="191" s="130" customFormat="1" ht="11.25" customHeight="1">
      <c r="A191" s="684"/>
      <c r="B191" s="57"/>
      <c r="C191" s="57"/>
      <c r="D191" s="130"/>
      <c r="K191" s="53"/>
      <c r="L191" s="57"/>
      <c r="M191" s="57"/>
      <c r="N191" s="53"/>
      <c r="O191" s="53"/>
      <c r="P191" s="53"/>
      <c r="Q191" s="53"/>
      <c r="R191" s="57"/>
      <c r="S191" s="53"/>
      <c r="T191" s="53"/>
      <c r="U191" s="685"/>
      <c r="V191" s="53"/>
      <c r="W191" s="53"/>
      <c r="X191" s="53"/>
      <c r="Y191" s="53"/>
      <c r="Z191" s="53"/>
      <c r="AA191" s="56"/>
      <c r="AB191" s="54"/>
      <c r="AC191" s="54"/>
      <c r="AD191" s="54"/>
      <c r="AE191" s="54"/>
    </row>
    <row r="192" s="130" customFormat="1" ht="11.25" customHeight="1">
      <c r="A192" s="684"/>
      <c r="B192" s="57"/>
      <c r="C192" s="57"/>
      <c r="D192" s="130"/>
      <c r="K192" s="53"/>
      <c r="L192" s="57"/>
      <c r="M192" s="57"/>
      <c r="N192" s="53"/>
      <c r="O192" s="53"/>
      <c r="P192" s="53"/>
      <c r="Q192" s="53"/>
      <c r="R192" s="57"/>
      <c r="S192" s="53"/>
      <c r="T192" s="53"/>
      <c r="U192" s="685"/>
      <c r="V192" s="53"/>
      <c r="W192" s="53"/>
      <c r="X192" s="53"/>
      <c r="Y192" s="53"/>
      <c r="Z192" s="53"/>
      <c r="AA192" s="56"/>
      <c r="AB192" s="54"/>
      <c r="AC192" s="54"/>
      <c r="AD192" s="54"/>
      <c r="AE192" s="54"/>
    </row>
    <row r="193" s="130" customFormat="1" ht="11.25" customHeight="1">
      <c r="A193" s="684"/>
      <c r="B193" s="57"/>
      <c r="C193" s="57"/>
      <c r="D193" s="130"/>
      <c r="K193" s="53"/>
      <c r="L193" s="57"/>
      <c r="M193" s="57"/>
      <c r="N193" s="53"/>
      <c r="O193" s="53"/>
      <c r="P193" s="53"/>
      <c r="Q193" s="53"/>
      <c r="R193" s="57"/>
      <c r="S193" s="53"/>
      <c r="T193" s="53"/>
      <c r="U193" s="685"/>
      <c r="V193" s="53"/>
      <c r="W193" s="53"/>
      <c r="X193" s="53"/>
      <c r="Y193" s="53"/>
      <c r="Z193" s="53"/>
      <c r="AA193" s="56"/>
      <c r="AB193" s="54"/>
      <c r="AC193" s="54"/>
      <c r="AD193" s="54"/>
      <c r="AE193" s="54"/>
    </row>
    <row r="194" s="130" customFormat="1" ht="11.25" customHeight="1">
      <c r="A194" s="684"/>
      <c r="B194" s="57"/>
      <c r="C194" s="57"/>
      <c r="D194" s="130"/>
      <c r="K194" s="53"/>
      <c r="L194" s="57"/>
      <c r="M194" s="57"/>
      <c r="N194" s="53"/>
      <c r="O194" s="53"/>
      <c r="P194" s="53"/>
      <c r="Q194" s="53"/>
      <c r="R194" s="57"/>
      <c r="S194" s="53"/>
      <c r="T194" s="53"/>
      <c r="U194" s="685"/>
      <c r="V194" s="53"/>
      <c r="W194" s="53"/>
      <c r="X194" s="53"/>
      <c r="Y194" s="53"/>
      <c r="Z194" s="53"/>
      <c r="AA194" s="56"/>
      <c r="AB194" s="54"/>
      <c r="AC194" s="54"/>
      <c r="AD194" s="54"/>
      <c r="AE194" s="54"/>
    </row>
    <row r="195" s="130" customFormat="1" ht="11.25" customHeight="1">
      <c r="A195" s="684"/>
      <c r="B195" s="57"/>
      <c r="C195" s="57"/>
      <c r="D195" s="130"/>
      <c r="K195" s="53"/>
      <c r="L195" s="57"/>
      <c r="M195" s="57"/>
      <c r="N195" s="53"/>
      <c r="O195" s="53"/>
      <c r="P195" s="53"/>
      <c r="Q195" s="53"/>
      <c r="R195" s="57"/>
      <c r="S195" s="53"/>
      <c r="T195" s="53"/>
      <c r="U195" s="685"/>
      <c r="V195" s="53"/>
      <c r="W195" s="53"/>
      <c r="X195" s="53"/>
      <c r="Y195" s="53"/>
      <c r="Z195" s="53"/>
      <c r="AA195" s="56"/>
      <c r="AB195" s="54"/>
      <c r="AC195" s="54"/>
      <c r="AD195" s="54"/>
      <c r="AE195" s="54"/>
    </row>
    <row r="196" s="130" customFormat="1" ht="11.25" customHeight="1">
      <c r="A196" s="684"/>
      <c r="B196" s="57"/>
      <c r="C196" s="57"/>
      <c r="D196" s="130"/>
      <c r="K196" s="53"/>
      <c r="L196" s="57"/>
      <c r="M196" s="57"/>
      <c r="N196" s="53"/>
      <c r="O196" s="53"/>
      <c r="P196" s="53"/>
      <c r="Q196" s="53"/>
      <c r="R196" s="57"/>
      <c r="S196" s="53"/>
      <c r="T196" s="53"/>
      <c r="U196" s="685"/>
      <c r="V196" s="53"/>
      <c r="W196" s="53"/>
      <c r="X196" s="53"/>
      <c r="Y196" s="53"/>
      <c r="Z196" s="53"/>
      <c r="AA196" s="56"/>
      <c r="AB196" s="54"/>
      <c r="AC196" s="54"/>
      <c r="AD196" s="54"/>
      <c r="AE196" s="54"/>
    </row>
    <row r="197" s="130" customFormat="1" ht="11.25" customHeight="1">
      <c r="A197" s="684"/>
      <c r="B197" s="57"/>
      <c r="C197" s="57"/>
      <c r="D197" s="130"/>
      <c r="K197" s="53"/>
      <c r="L197" s="57"/>
      <c r="M197" s="57"/>
      <c r="N197" s="53"/>
      <c r="O197" s="53"/>
      <c r="P197" s="53"/>
      <c r="Q197" s="53"/>
      <c r="R197" s="57"/>
      <c r="S197" s="53"/>
      <c r="T197" s="53"/>
      <c r="U197" s="685"/>
      <c r="V197" s="53"/>
      <c r="W197" s="53"/>
      <c r="X197" s="53"/>
      <c r="Y197" s="53"/>
      <c r="Z197" s="53"/>
      <c r="AA197" s="56"/>
      <c r="AB197" s="54"/>
      <c r="AC197" s="54"/>
      <c r="AD197" s="54"/>
      <c r="AE197" s="54"/>
    </row>
    <row r="198" s="130" customFormat="1" ht="11.25" customHeight="1">
      <c r="A198" s="684"/>
      <c r="B198" s="57"/>
      <c r="C198" s="57"/>
      <c r="D198" s="130"/>
      <c r="K198" s="53"/>
      <c r="L198" s="57"/>
      <c r="M198" s="57"/>
      <c r="N198" s="53"/>
      <c r="O198" s="53"/>
      <c r="P198" s="53"/>
      <c r="Q198" s="53"/>
      <c r="R198" s="57"/>
      <c r="S198" s="53"/>
      <c r="T198" s="53"/>
      <c r="U198" s="685"/>
      <c r="V198" s="53"/>
      <c r="W198" s="53"/>
      <c r="X198" s="53"/>
      <c r="Y198" s="53"/>
      <c r="Z198" s="53"/>
      <c r="AA198" s="56"/>
      <c r="AB198" s="54"/>
      <c r="AC198" s="54"/>
      <c r="AD198" s="54"/>
      <c r="AE198" s="54"/>
    </row>
    <row r="199" s="130" customFormat="1" ht="11.25" customHeight="1">
      <c r="A199" s="684"/>
      <c r="B199" s="57"/>
      <c r="C199" s="57"/>
      <c r="D199" s="130"/>
      <c r="K199" s="53"/>
      <c r="L199" s="57"/>
      <c r="M199" s="57"/>
      <c r="N199" s="53"/>
      <c r="O199" s="53"/>
      <c r="P199" s="53"/>
      <c r="Q199" s="53"/>
      <c r="R199" s="57"/>
      <c r="S199" s="53"/>
      <c r="T199" s="53"/>
      <c r="U199" s="685"/>
      <c r="V199" s="53"/>
      <c r="W199" s="53"/>
      <c r="X199" s="53"/>
      <c r="Y199" s="53"/>
      <c r="Z199" s="53"/>
      <c r="AA199" s="56"/>
      <c r="AB199" s="54"/>
      <c r="AC199" s="54"/>
      <c r="AD199" s="54"/>
      <c r="AE199" s="54"/>
    </row>
    <row r="200" s="130" customFormat="1" ht="11.25" customHeight="1">
      <c r="A200" s="684"/>
      <c r="B200" s="57"/>
      <c r="C200" s="57"/>
      <c r="D200" s="130"/>
      <c r="K200" s="53"/>
      <c r="L200" s="57"/>
      <c r="M200" s="57"/>
      <c r="N200" s="53"/>
      <c r="O200" s="53"/>
      <c r="P200" s="53"/>
      <c r="Q200" s="53"/>
      <c r="R200" s="57"/>
      <c r="S200" s="53"/>
      <c r="T200" s="53"/>
      <c r="U200" s="685"/>
      <c r="V200" s="53"/>
      <c r="W200" s="53"/>
      <c r="X200" s="53"/>
      <c r="Y200" s="53"/>
      <c r="Z200" s="53"/>
      <c r="AA200" s="56"/>
      <c r="AB200" s="54"/>
      <c r="AC200" s="54"/>
      <c r="AD200" s="54"/>
      <c r="AE200" s="54"/>
    </row>
    <row r="201" s="130" customFormat="1" ht="11.25" customHeight="1">
      <c r="A201" s="684"/>
      <c r="B201" s="57"/>
      <c r="C201" s="57"/>
      <c r="D201" s="130"/>
      <c r="K201" s="53"/>
      <c r="L201" s="57"/>
      <c r="M201" s="57"/>
      <c r="N201" s="53"/>
      <c r="O201" s="53"/>
      <c r="P201" s="53"/>
      <c r="Q201" s="53"/>
      <c r="R201" s="57"/>
      <c r="S201" s="53"/>
      <c r="T201" s="53"/>
      <c r="U201" s="685"/>
      <c r="V201" s="53"/>
      <c r="W201" s="53"/>
      <c r="X201" s="53"/>
      <c r="Y201" s="53"/>
      <c r="Z201" s="53"/>
      <c r="AA201" s="56"/>
      <c r="AB201" s="54"/>
      <c r="AC201" s="54"/>
      <c r="AD201" s="54"/>
      <c r="AE201" s="54"/>
    </row>
    <row r="202" s="130" customFormat="1" ht="11.25" customHeight="1">
      <c r="A202" s="684"/>
      <c r="B202" s="57"/>
      <c r="C202" s="57"/>
      <c r="D202" s="130"/>
      <c r="K202" s="53"/>
      <c r="L202" s="57"/>
      <c r="M202" s="57"/>
      <c r="N202" s="53"/>
      <c r="O202" s="53"/>
      <c r="P202" s="53"/>
      <c r="Q202" s="53"/>
      <c r="R202" s="57"/>
      <c r="S202" s="53"/>
      <c r="T202" s="53"/>
      <c r="U202" s="685"/>
      <c r="V202" s="53"/>
      <c r="W202" s="53"/>
      <c r="X202" s="53"/>
      <c r="Y202" s="53"/>
      <c r="Z202" s="53"/>
      <c r="AA202" s="56"/>
      <c r="AB202" s="54"/>
      <c r="AC202" s="54"/>
      <c r="AD202" s="54"/>
      <c r="AE202" s="54"/>
    </row>
    <row r="203" s="130" customFormat="1" ht="11.25" customHeight="1">
      <c r="A203" s="684"/>
      <c r="B203" s="57"/>
      <c r="C203" s="57"/>
      <c r="D203" s="130"/>
      <c r="K203" s="53"/>
      <c r="L203" s="57"/>
      <c r="M203" s="57"/>
      <c r="N203" s="53"/>
      <c r="O203" s="53"/>
      <c r="P203" s="53"/>
      <c r="Q203" s="53"/>
      <c r="R203" s="57"/>
      <c r="S203" s="53"/>
      <c r="T203" s="53"/>
      <c r="U203" s="685"/>
      <c r="V203" s="53"/>
      <c r="W203" s="53"/>
      <c r="X203" s="53"/>
      <c r="Y203" s="53"/>
      <c r="Z203" s="53"/>
      <c r="AA203" s="56"/>
      <c r="AB203" s="54"/>
      <c r="AC203" s="54"/>
      <c r="AD203" s="54"/>
      <c r="AE203" s="54"/>
    </row>
    <row r="204" s="130" customFormat="1" ht="11.25" customHeight="1">
      <c r="A204" s="684"/>
      <c r="B204" s="57"/>
      <c r="C204" s="57"/>
      <c r="D204" s="130"/>
      <c r="K204" s="53"/>
      <c r="L204" s="57"/>
      <c r="M204" s="57"/>
      <c r="N204" s="53"/>
      <c r="O204" s="53"/>
      <c r="P204" s="53"/>
      <c r="Q204" s="53"/>
      <c r="R204" s="57"/>
      <c r="S204" s="53"/>
      <c r="T204" s="53"/>
      <c r="U204" s="685"/>
      <c r="V204" s="53"/>
      <c r="W204" s="53"/>
      <c r="X204" s="53"/>
      <c r="Y204" s="53"/>
      <c r="Z204" s="53"/>
      <c r="AA204" s="56"/>
      <c r="AB204" s="54"/>
      <c r="AC204" s="54"/>
      <c r="AD204" s="54"/>
      <c r="AE204" s="54"/>
    </row>
    <row r="208" ht="11.25" customHeight="1">
      <c r="A208" s="750"/>
      <c r="B208" s="50"/>
      <c r="D208" s="50"/>
      <c r="K208" s="50"/>
      <c r="N208" s="50"/>
      <c r="O208" s="50"/>
      <c r="P208" s="50"/>
      <c r="Q208" s="50"/>
      <c r="S208" s="50"/>
      <c r="T208" s="50"/>
      <c r="U208" s="50"/>
      <c r="V208" s="50"/>
      <c r="W208" s="50"/>
      <c r="X208" s="50"/>
      <c r="Y208" s="50"/>
      <c r="Z208" s="50"/>
      <c r="AA208" s="50"/>
      <c r="AB208" s="50"/>
      <c r="AC208" s="50"/>
      <c r="AD208" s="50"/>
      <c r="AE208" s="50"/>
    </row>
    <row r="209" ht="11.25" customHeight="1">
      <c r="A209" s="750"/>
      <c r="B209" s="50"/>
      <c r="D209" s="50"/>
      <c r="K209" s="50"/>
      <c r="N209" s="50"/>
      <c r="O209" s="50"/>
      <c r="P209" s="50"/>
      <c r="Q209" s="50"/>
      <c r="S209" s="50"/>
      <c r="T209" s="50"/>
      <c r="U209" s="50"/>
      <c r="V209" s="50"/>
      <c r="W209" s="50"/>
      <c r="X209" s="50"/>
      <c r="Y209" s="50"/>
      <c r="Z209" s="50"/>
      <c r="AA209" s="50"/>
      <c r="AB209" s="50"/>
      <c r="AC209" s="50"/>
      <c r="AD209" s="50"/>
      <c r="AE209" s="50"/>
    </row>
    <row r="210" ht="11.25" customHeight="1">
      <c r="A210" s="750"/>
      <c r="B210" s="50"/>
      <c r="D210" s="50"/>
      <c r="K210" s="50"/>
      <c r="N210" s="50"/>
      <c r="O210" s="50"/>
      <c r="P210" s="50"/>
      <c r="Q210" s="50"/>
      <c r="S210" s="50"/>
      <c r="T210" s="50"/>
      <c r="U210" s="50"/>
      <c r="V210" s="50"/>
      <c r="W210" s="50"/>
      <c r="X210" s="50"/>
      <c r="Y210" s="50"/>
      <c r="Z210" s="50"/>
      <c r="AA210" s="50"/>
      <c r="AB210" s="50"/>
      <c r="AC210" s="50"/>
      <c r="AD210" s="50"/>
      <c r="AE210" s="50"/>
    </row>
    <row r="211" ht="11.25" customHeight="1">
      <c r="A211" s="750"/>
      <c r="B211" s="50"/>
      <c r="D211" s="50"/>
      <c r="K211" s="50"/>
      <c r="N211" s="50"/>
      <c r="O211" s="50"/>
      <c r="P211" s="50"/>
      <c r="Q211" s="50"/>
      <c r="S211" s="50"/>
      <c r="T211" s="50"/>
      <c r="U211" s="50"/>
      <c r="V211" s="50"/>
      <c r="W211" s="50"/>
      <c r="X211" s="50"/>
      <c r="Y211" s="50"/>
      <c r="Z211" s="50"/>
      <c r="AA211" s="50"/>
      <c r="AB211" s="50"/>
      <c r="AC211" s="50"/>
      <c r="AD211" s="50"/>
      <c r="AE211" s="50"/>
    </row>
    <row r="212" ht="11.25" customHeight="1">
      <c r="A212" s="750"/>
      <c r="B212" s="50"/>
      <c r="D212" s="50"/>
      <c r="K212" s="50"/>
      <c r="N212" s="50"/>
      <c r="O212" s="50"/>
      <c r="P212" s="50"/>
      <c r="Q212" s="50"/>
      <c r="S212" s="50"/>
      <c r="T212" s="50"/>
      <c r="U212" s="50"/>
      <c r="V212" s="50"/>
      <c r="W212" s="50"/>
      <c r="X212" s="50"/>
      <c r="Y212" s="50"/>
      <c r="Z212" s="50"/>
      <c r="AA212" s="50"/>
      <c r="AB212" s="50"/>
      <c r="AC212" s="50"/>
      <c r="AD212" s="50"/>
      <c r="AE212" s="50"/>
    </row>
    <row r="213" ht="11.25" customHeight="1">
      <c r="A213" s="750"/>
      <c r="B213" s="50"/>
      <c r="D213" s="50"/>
      <c r="K213" s="50"/>
      <c r="N213" s="50"/>
      <c r="O213" s="50"/>
      <c r="P213" s="50"/>
      <c r="Q213" s="50"/>
      <c r="S213" s="50"/>
      <c r="T213" s="50"/>
      <c r="U213" s="50"/>
      <c r="V213" s="50"/>
      <c r="W213" s="50"/>
      <c r="X213" s="50"/>
      <c r="Y213" s="50"/>
      <c r="Z213" s="50"/>
      <c r="AA213" s="50"/>
      <c r="AB213" s="50"/>
      <c r="AC213" s="50"/>
      <c r="AD213" s="50"/>
      <c r="AE213" s="50"/>
    </row>
    <row r="214" ht="11.25" customHeight="1">
      <c r="A214" s="750"/>
      <c r="B214" s="50"/>
      <c r="D214" s="50"/>
      <c r="K214" s="50"/>
      <c r="N214" s="50"/>
      <c r="O214" s="50"/>
      <c r="P214" s="50"/>
      <c r="Q214" s="50"/>
      <c r="S214" s="50"/>
      <c r="T214" s="50"/>
      <c r="U214" s="50"/>
      <c r="V214" s="50"/>
      <c r="W214" s="50"/>
      <c r="X214" s="50"/>
      <c r="Y214" s="50"/>
      <c r="Z214" s="50"/>
      <c r="AA214" s="50"/>
      <c r="AB214" s="50"/>
      <c r="AC214" s="50"/>
      <c r="AD214" s="50"/>
      <c r="AE214" s="50"/>
    </row>
    <row r="215" ht="11.25" customHeight="1">
      <c r="A215" s="750"/>
      <c r="B215" s="50"/>
      <c r="D215" s="50"/>
      <c r="K215" s="50"/>
      <c r="N215" s="50"/>
      <c r="O215" s="50"/>
      <c r="P215" s="50"/>
      <c r="Q215" s="50"/>
      <c r="S215" s="50"/>
      <c r="T215" s="50"/>
      <c r="U215" s="50"/>
      <c r="V215" s="50"/>
      <c r="W215" s="50"/>
      <c r="X215" s="50"/>
      <c r="Y215" s="50"/>
      <c r="Z215" s="50"/>
      <c r="AA215" s="50"/>
      <c r="AB215" s="50"/>
      <c r="AC215" s="50"/>
      <c r="AD215" s="50"/>
      <c r="AE215" s="50"/>
    </row>
    <row r="216" ht="11.25" customHeight="1">
      <c r="A216" s="750"/>
      <c r="B216" s="50"/>
      <c r="D216" s="50"/>
      <c r="K216" s="50"/>
      <c r="N216" s="50"/>
      <c r="O216" s="50"/>
      <c r="P216" s="50"/>
      <c r="Q216" s="50"/>
      <c r="S216" s="50"/>
      <c r="T216" s="50"/>
      <c r="U216" s="50"/>
      <c r="V216" s="50"/>
      <c r="W216" s="50"/>
      <c r="X216" s="50"/>
      <c r="Y216" s="50"/>
      <c r="Z216" s="50"/>
      <c r="AA216" s="50"/>
      <c r="AB216" s="50"/>
      <c r="AC216" s="50"/>
      <c r="AD216" s="50"/>
      <c r="AE216" s="50"/>
    </row>
    <row r="217" ht="11.25" customHeight="1">
      <c r="A217" s="750"/>
      <c r="B217" s="50"/>
      <c r="D217" s="50"/>
      <c r="K217" s="50"/>
      <c r="N217" s="50"/>
      <c r="O217" s="50"/>
      <c r="P217" s="50"/>
      <c r="Q217" s="50"/>
      <c r="S217" s="50"/>
      <c r="T217" s="50"/>
      <c r="U217" s="50"/>
      <c r="V217" s="50"/>
      <c r="W217" s="50"/>
      <c r="X217" s="50"/>
      <c r="Y217" s="50"/>
      <c r="Z217" s="50"/>
      <c r="AA217" s="50"/>
      <c r="AB217" s="50"/>
      <c r="AC217" s="50"/>
      <c r="AD217" s="50"/>
      <c r="AE217" s="50"/>
    </row>
    <row r="218" ht="11.25" customHeight="1">
      <c r="A218" s="750"/>
      <c r="B218" s="50"/>
      <c r="D218" s="50"/>
      <c r="K218" s="50"/>
      <c r="N218" s="50"/>
      <c r="O218" s="50"/>
      <c r="P218" s="50"/>
      <c r="Q218" s="50"/>
      <c r="S218" s="50"/>
      <c r="T218" s="50"/>
      <c r="U218" s="50"/>
      <c r="V218" s="50"/>
      <c r="W218" s="50"/>
      <c r="X218" s="50"/>
      <c r="Y218" s="50"/>
      <c r="Z218" s="50"/>
      <c r="AA218" s="50"/>
      <c r="AB218" s="50"/>
      <c r="AC218" s="50"/>
      <c r="AD218" s="50"/>
      <c r="AE218" s="50"/>
    </row>
  </sheetData>
  <sheetProtection autoFilter="0" deleteColumns="0" deleteRows="0" formatCells="1" formatColumns="0" formatRows="0" insertColumns="1" insertHyperlinks="1" insertRows="0" pivotTables="1" selectLockedCells="0" selectUnlockedCells="0" sheet="0" sort="0"/>
  <mergeCells count="9">
    <mergeCell ref="E6:I6"/>
    <mergeCell ref="E7:I7"/>
    <mergeCell ref="F10:G10"/>
    <mergeCell ref="J10:J14"/>
    <mergeCell ref="F11:G11"/>
    <mergeCell ref="F12:G12"/>
    <mergeCell ref="E13:G13"/>
    <mergeCell ref="F48:J48"/>
    <mergeCell ref="F49:J49"/>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A20080-005B-472B-91D1-009B00040078}"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H33:I33</xm:sqref>
        </x14:dataValidation>
        <x14:dataValidation xr:uid="{00DE0055-002A-42B4-8CC3-00160050007E}"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H38:I39 H2:I2 H15:I15 H17:I32 H35:I35 H44:I46</xm:sqref>
        </x14:dataValidation>
        <x14:dataValidation xr:uid="{00CC004A-007A-47E3-87A8-008600170018}"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H43:I43</xm:sqref>
        </x14:dataValidation>
        <x14:dataValidation xr:uid="{0032009F-000C-4C4E-8826-00DF00860060}"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H36:I37</xm:sqref>
        </x14:dataValidation>
        <x14:dataValidation xr:uid="{00F90084-00A4-46DE-98C5-00C900910086}"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H40:I42</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D5" zoomScale="90" workbookViewId="0">
      <selection activeCell="A1" activeCellId="0" sqref="A1"/>
    </sheetView>
  </sheetViews>
  <sheetFormatPr defaultColWidth="9.140625" defaultRowHeight="11.25" customHeight="1"/>
  <cols>
    <col customWidth="1" hidden="1" min="1" max="1" style="684" width="10.7109375"/>
    <col customWidth="1" hidden="1" min="2" max="2" style="53" width="16.8515625"/>
    <col customWidth="1" hidden="1" min="3" max="3" style="57" width="5.57421875"/>
    <col customWidth="1" min="4" max="4" style="50" width="3.7109375"/>
    <col customWidth="1" min="5" max="5" style="50" width="7.7109375"/>
    <col customWidth="1" min="6" max="6" style="50" width="54.57421875"/>
    <col customWidth="1" min="7" max="7" style="50" width="10.421875"/>
    <col customWidth="1" hidden="1" min="8" max="8" style="50" width="40.7109375"/>
    <col customWidth="1" min="9" max="9" style="50" width="40.7109375"/>
    <col customWidth="1" min="10" max="10" style="50" width="102.8515625"/>
    <col customWidth="1" min="11" max="11" style="53" width="9.7109375"/>
    <col customWidth="1" min="12" max="12" style="57" width="5.28125"/>
    <col customWidth="1" min="13" max="13" style="57" width="3.7109375"/>
    <col customWidth="1" min="14" max="17" style="53" width="3.7109375"/>
    <col customWidth="1" min="18" max="18" style="57" width="10.57421875"/>
    <col customWidth="1" min="19" max="19" style="53" width="34.7109375"/>
    <col customWidth="1" min="20" max="20" style="53" width="9.421875"/>
    <col min="21" max="21" style="685" width="9.140625"/>
    <col min="22" max="26" style="53" width="9.140625"/>
    <col min="27" max="31" style="56" width="9.140625"/>
  </cols>
  <sheetData>
    <row r="1" s="53" customFormat="1" ht="11.25" hidden="1" customHeight="1">
      <c r="A1" s="684"/>
      <c r="C1" s="57"/>
      <c r="D1" s="53"/>
      <c r="H1" s="53">
        <v>4</v>
      </c>
      <c r="I1" s="53">
        <v>4</v>
      </c>
      <c r="L1" s="57"/>
      <c r="M1" s="57"/>
      <c r="R1" s="57"/>
    </row>
    <row r="2" s="53" customFormat="1" ht="22.5" hidden="1" customHeight="1">
      <c r="A2" s="684"/>
      <c r="C2" s="57"/>
      <c r="D2" s="694"/>
      <c r="E2" s="156"/>
      <c r="F2" s="158"/>
      <c r="G2" s="156" t="s">
        <v>534</v>
      </c>
      <c r="H2" s="505"/>
      <c r="I2" s="505"/>
      <c r="J2" s="695" t="s">
        <v>537</v>
      </c>
      <c r="K2" s="688"/>
      <c r="L2" s="57"/>
      <c r="M2" s="57"/>
      <c r="R2" s="57"/>
      <c r="U2" s="685"/>
      <c r="AA2" s="56"/>
      <c r="AB2" s="56"/>
      <c r="AC2" s="56"/>
      <c r="AD2" s="56"/>
      <c r="AE2" s="56"/>
    </row>
    <row r="3" ht="11.25" hidden="1" customHeight="1"/>
    <row r="4" s="56" customFormat="1" ht="11.25" hidden="1" customHeight="1">
      <c r="A4" s="684"/>
      <c r="B4" s="53"/>
      <c r="C4" s="57"/>
      <c r="D4" s="56"/>
      <c r="J4" s="56">
        <v>4</v>
      </c>
      <c r="K4" s="53"/>
      <c r="L4" s="57"/>
      <c r="M4" s="57"/>
      <c r="N4" s="53"/>
      <c r="O4" s="53"/>
      <c r="P4" s="53"/>
      <c r="Q4" s="53"/>
      <c r="R4" s="57"/>
      <c r="S4" s="53"/>
      <c r="T4" s="53"/>
      <c r="U4" s="685"/>
      <c r="V4" s="53"/>
      <c r="W4" s="53"/>
      <c r="X4" s="53"/>
      <c r="Y4" s="53"/>
      <c r="Z4" s="53"/>
    </row>
    <row r="6" ht="32.25" customHeight="1">
      <c r="E6" s="451" t="s">
        <v>671</v>
      </c>
      <c r="F6" s="451"/>
      <c r="G6" s="451"/>
      <c r="H6" s="451"/>
      <c r="I6" s="451"/>
      <c r="J6" s="241"/>
    </row>
    <row r="7" ht="24" customHeight="1">
      <c r="E7" s="302" t="str">
        <f>IF(org=0,"Не определено",org)</f>
        <v xml:space="preserve">филиал ПАО "ОГК-2" - Адлерская ТЭС</v>
      </c>
      <c r="F7" s="302"/>
      <c r="G7" s="302"/>
      <c r="H7" s="302"/>
      <c r="I7" s="302"/>
    </row>
    <row r="8" ht="11.25" customHeight="1">
      <c r="E8" s="698"/>
      <c r="F8" s="698"/>
      <c r="G8" s="698"/>
      <c r="H8" s="698"/>
      <c r="I8" s="698"/>
    </row>
    <row r="9" s="57" customFormat="1" ht="0.75" customHeight="1">
      <c r="A9" s="529"/>
      <c r="D9" s="57"/>
      <c r="H9" s="699"/>
      <c r="I9" s="699" t="s">
        <v>118</v>
      </c>
    </row>
    <row r="10" ht="11.25" customHeight="1">
      <c r="E10" s="700"/>
      <c r="F10" s="701" t="s">
        <v>107</v>
      </c>
      <c r="G10" s="702"/>
      <c r="H10" s="703" t="str">
        <f>IF(H9="","",INDEX(DIFFERENTIATION_UNMERGE_VD,MATCH(H9,DIFFERENTIATION_ID_DIFF,0)))</f>
        <v/>
      </c>
      <c r="I10" s="703" t="str">
        <f>IF(I9="","",INDEX(DIFFERENTIATION_UNMERGE_VD,MATCH(I9,DIFFERENTIATION_ID_DIFF,0)))</f>
        <v xml:space="preserve">Сбыт. Тепловая энергия</v>
      </c>
      <c r="J10" s="156"/>
    </row>
    <row r="11" ht="11.25" customHeight="1">
      <c r="E11" s="700"/>
      <c r="F11" s="701" t="s">
        <v>546</v>
      </c>
      <c r="G11" s="702"/>
      <c r="H11" s="703" t="str">
        <f>IF(H9="","",INDEX(DIFFERENTIATION_UNMERGE_AREA,MATCH(H9,DIFFERENTIATION_ID_DIFF,0)))</f>
        <v/>
      </c>
      <c r="I11" s="703" t="str">
        <f>IF(I9="","",INDEX(DIFFERENTIATION_UNMERGE_AREA,MATCH(I9,DIFFERENTIATION_ID_DIFF,0)))</f>
        <v xml:space="preserve">Территория 1</v>
      </c>
      <c r="J11" s="156"/>
    </row>
    <row r="12" ht="11.25" hidden="1" customHeight="1">
      <c r="E12" s="778"/>
      <c r="F12" s="779" t="s">
        <v>547</v>
      </c>
      <c r="G12" s="780"/>
      <c r="H12" s="781" t="str">
        <f>IF(H9="","",INDEX(DIFFERENTIATION_UNMERGE_SYSTEM,MATCH(H9,DIFFERENTIATION_ID_DIFF,0)))</f>
        <v/>
      </c>
      <c r="I12" s="781" t="str">
        <f>IF(I9="","",INDEX(DIFFERENTIATION_UNMERGE_SYSTEM,MATCH(I9,DIFFERENTIATION_ID_DIFF,0)))</f>
        <v xml:space="preserve">без дифференциации</v>
      </c>
      <c r="J12" s="156"/>
    </row>
    <row r="13" ht="11.25" customHeight="1">
      <c r="E13" s="704" t="s">
        <v>288</v>
      </c>
      <c r="F13" s="705"/>
      <c r="G13" s="705"/>
      <c r="H13" s="701"/>
      <c r="I13" s="701"/>
      <c r="J13" s="156"/>
    </row>
    <row r="14" ht="22.5" customHeight="1">
      <c r="E14" s="156" t="s">
        <v>85</v>
      </c>
      <c r="F14" s="156" t="s">
        <v>290</v>
      </c>
      <c r="G14" s="156" t="s">
        <v>548</v>
      </c>
      <c r="H14" s="156" t="s">
        <v>291</v>
      </c>
      <c r="I14" s="156" t="s">
        <v>291</v>
      </c>
      <c r="J14" s="156"/>
    </row>
    <row r="15" ht="18.75" customHeight="1">
      <c r="D15" s="124"/>
      <c r="E15" s="782" t="s">
        <v>111</v>
      </c>
      <c r="F15" s="312" t="s">
        <v>672</v>
      </c>
      <c r="G15" s="156" t="s">
        <v>534</v>
      </c>
      <c r="H15" s="706"/>
      <c r="I15" s="706"/>
      <c r="J15" s="484" t="s">
        <v>673</v>
      </c>
      <c r="K15" s="688" t="s">
        <v>601</v>
      </c>
    </row>
    <row r="16" ht="22.5" customHeight="1">
      <c r="D16" s="124"/>
      <c r="E16" s="782" t="s">
        <v>99</v>
      </c>
      <c r="F16" s="328" t="s">
        <v>674</v>
      </c>
      <c r="G16" s="156" t="s">
        <v>534</v>
      </c>
      <c r="H16" s="707">
        <f>SUM(H17,H20:H27)</f>
        <v>0</v>
      </c>
      <c r="I16" s="707">
        <f>SUM(I17,I20:I27)</f>
        <v>0</v>
      </c>
      <c r="J16" s="484" t="s">
        <v>675</v>
      </c>
      <c r="K16" s="688" t="s">
        <v>601</v>
      </c>
    </row>
    <row r="17" ht="33.75" customHeight="1">
      <c r="D17" s="124"/>
      <c r="E17" s="783" t="s">
        <v>604</v>
      </c>
      <c r="F17" s="372" t="s">
        <v>676</v>
      </c>
      <c r="G17" s="72" t="s">
        <v>534</v>
      </c>
      <c r="H17" s="706"/>
      <c r="I17" s="706"/>
      <c r="J17" s="484" t="s">
        <v>677</v>
      </c>
      <c r="K17" s="688"/>
    </row>
    <row r="18" ht="18.75" customHeight="1">
      <c r="D18" s="124"/>
      <c r="E18" s="783" t="s">
        <v>607</v>
      </c>
      <c r="F18" s="787" t="s">
        <v>678</v>
      </c>
      <c r="G18" s="72" t="s">
        <v>534</v>
      </c>
      <c r="H18" s="706"/>
      <c r="I18" s="706"/>
      <c r="J18" s="484"/>
      <c r="K18" s="688"/>
    </row>
    <row r="19" ht="22.5" customHeight="1">
      <c r="D19" s="124"/>
      <c r="E19" s="783" t="s">
        <v>610</v>
      </c>
      <c r="F19" s="787" t="s">
        <v>679</v>
      </c>
      <c r="G19" s="72" t="s">
        <v>534</v>
      </c>
      <c r="H19" s="706"/>
      <c r="I19" s="706"/>
      <c r="J19" s="484"/>
      <c r="K19" s="688"/>
    </row>
    <row r="20" ht="33.75" customHeight="1">
      <c r="D20" s="124"/>
      <c r="E20" s="783" t="s">
        <v>295</v>
      </c>
      <c r="F20" s="372" t="s">
        <v>680</v>
      </c>
      <c r="G20" s="72" t="s">
        <v>534</v>
      </c>
      <c r="H20" s="706"/>
      <c r="I20" s="706"/>
      <c r="J20" s="484"/>
      <c r="K20" s="688"/>
    </row>
    <row r="21" ht="33.75" customHeight="1">
      <c r="D21" s="124"/>
      <c r="E21" s="783" t="s">
        <v>298</v>
      </c>
      <c r="F21" s="372" t="s">
        <v>681</v>
      </c>
      <c r="G21" s="72" t="s">
        <v>534</v>
      </c>
      <c r="H21" s="706"/>
      <c r="I21" s="706"/>
      <c r="J21" s="484"/>
      <c r="K21" s="688"/>
    </row>
    <row r="22" ht="56.25" customHeight="1">
      <c r="D22" s="124"/>
      <c r="E22" s="783" t="s">
        <v>624</v>
      </c>
      <c r="F22" s="372" t="s">
        <v>682</v>
      </c>
      <c r="G22" s="72" t="s">
        <v>534</v>
      </c>
      <c r="H22" s="706"/>
      <c r="I22" s="706"/>
      <c r="J22" s="484"/>
      <c r="K22" s="688"/>
    </row>
    <row r="23" ht="33.75" customHeight="1">
      <c r="D23" s="124"/>
      <c r="E23" s="783" t="s">
        <v>631</v>
      </c>
      <c r="F23" s="372" t="s">
        <v>683</v>
      </c>
      <c r="G23" s="72" t="s">
        <v>534</v>
      </c>
      <c r="H23" s="706"/>
      <c r="I23" s="706"/>
      <c r="J23" s="484"/>
      <c r="K23" s="688"/>
    </row>
    <row r="24" ht="33.75" customHeight="1">
      <c r="D24" s="124"/>
      <c r="E24" s="783" t="s">
        <v>633</v>
      </c>
      <c r="F24" s="372" t="s">
        <v>684</v>
      </c>
      <c r="G24" s="72" t="s">
        <v>534</v>
      </c>
      <c r="H24" s="706"/>
      <c r="I24" s="706"/>
      <c r="J24" s="484"/>
      <c r="K24" s="688"/>
    </row>
    <row r="25" ht="22.5" customHeight="1">
      <c r="D25" s="124"/>
      <c r="E25" s="783" t="s">
        <v>635</v>
      </c>
      <c r="F25" s="372" t="s">
        <v>685</v>
      </c>
      <c r="G25" s="72" t="s">
        <v>534</v>
      </c>
      <c r="H25" s="706"/>
      <c r="I25" s="706"/>
      <c r="J25" s="484"/>
      <c r="K25" s="688"/>
    </row>
    <row r="26" ht="67.5" customHeight="1">
      <c r="D26" s="124"/>
      <c r="E26" s="783" t="s">
        <v>637</v>
      </c>
      <c r="F26" s="372" t="s">
        <v>686</v>
      </c>
      <c r="G26" s="72" t="s">
        <v>534</v>
      </c>
      <c r="H26" s="706"/>
      <c r="I26" s="706"/>
      <c r="J26" s="484"/>
      <c r="K26" s="688"/>
    </row>
    <row r="27" s="53" customFormat="1" ht="22.5" customHeight="1">
      <c r="A27" s="684"/>
      <c r="C27" s="57"/>
      <c r="D27" s="124"/>
      <c r="E27" s="788" t="s">
        <v>641</v>
      </c>
      <c r="F27" s="187" t="s">
        <v>687</v>
      </c>
      <c r="G27" s="306" t="s">
        <v>534</v>
      </c>
      <c r="H27" s="729">
        <f>SUM(H28:H29)</f>
        <v>0</v>
      </c>
      <c r="I27" s="729">
        <f>SUM(I28:I29)</f>
        <v>0</v>
      </c>
      <c r="J27" s="484" t="s">
        <v>639</v>
      </c>
      <c r="K27" s="688"/>
      <c r="L27" s="57"/>
      <c r="M27" s="57"/>
      <c r="R27" s="57"/>
      <c r="U27" s="685"/>
      <c r="AA27" s="56"/>
      <c r="AB27" s="56"/>
      <c r="AC27" s="56"/>
      <c r="AD27" s="56"/>
      <c r="AE27" s="56"/>
    </row>
    <row r="28" s="57" customFormat="1" ht="0.75" customHeight="1">
      <c r="A28" s="529"/>
      <c r="D28" s="529"/>
      <c r="E28" s="157" t="str">
        <f>E27&amp;".0"</f>
        <v>2.9.0</v>
      </c>
      <c r="F28" s="730"/>
      <c r="G28" s="157"/>
      <c r="H28" s="731"/>
      <c r="I28" s="731"/>
      <c r="J28" s="732"/>
    </row>
    <row r="29" s="53" customFormat="1" ht="18.75" customHeight="1">
      <c r="A29" s="684"/>
      <c r="C29" s="57"/>
      <c r="D29" s="127"/>
      <c r="E29" s="719"/>
      <c r="F29" s="786" t="s">
        <v>559</v>
      </c>
      <c r="G29" s="720"/>
      <c r="H29" s="721"/>
      <c r="I29" s="721"/>
      <c r="J29" s="547" t="s">
        <v>640</v>
      </c>
      <c r="K29" s="688"/>
      <c r="L29" s="57"/>
      <c r="M29" s="57"/>
      <c r="R29" s="57"/>
      <c r="U29" s="685"/>
      <c r="AA29" s="56"/>
      <c r="AB29" s="56"/>
      <c r="AC29" s="56"/>
      <c r="AD29" s="56"/>
      <c r="AE29" s="56"/>
    </row>
    <row r="30" s="53" customFormat="1" ht="22.5" customHeight="1">
      <c r="A30" s="684"/>
      <c r="C30" s="57"/>
      <c r="D30" s="124"/>
      <c r="E30" s="783" t="s">
        <v>87</v>
      </c>
      <c r="F30" s="789" t="s">
        <v>688</v>
      </c>
      <c r="G30" s="72" t="s">
        <v>534</v>
      </c>
      <c r="H30" s="706"/>
      <c r="I30" s="706"/>
      <c r="J30" s="484"/>
      <c r="K30" s="688"/>
      <c r="L30" s="57"/>
      <c r="M30" s="57"/>
      <c r="R30" s="57"/>
      <c r="U30" s="685"/>
      <c r="AA30" s="56"/>
      <c r="AB30" s="56"/>
      <c r="AC30" s="56"/>
      <c r="AD30" s="56"/>
      <c r="AE30" s="56"/>
    </row>
    <row r="31" s="53" customFormat="1" ht="33.75" customHeight="1">
      <c r="A31" s="684"/>
      <c r="C31" s="57"/>
      <c r="D31" s="725"/>
      <c r="E31" s="783" t="s">
        <v>88</v>
      </c>
      <c r="F31" s="789" t="s">
        <v>689</v>
      </c>
      <c r="G31" s="72" t="s">
        <v>534</v>
      </c>
      <c r="H31" s="706"/>
      <c r="I31" s="706"/>
      <c r="J31" s="484" t="s">
        <v>690</v>
      </c>
      <c r="K31" s="688"/>
      <c r="L31" s="57"/>
      <c r="M31" s="57"/>
      <c r="R31" s="57"/>
      <c r="U31" s="685"/>
      <c r="AA31" s="56"/>
      <c r="AB31" s="56"/>
      <c r="AC31" s="56"/>
      <c r="AD31" s="56"/>
      <c r="AE31" s="56"/>
    </row>
    <row r="32" s="53" customFormat="1" ht="22.5" customHeight="1">
      <c r="A32" s="684"/>
      <c r="C32" s="57"/>
      <c r="D32" s="124"/>
      <c r="E32" s="783" t="s">
        <v>649</v>
      </c>
      <c r="F32" s="372" t="s">
        <v>653</v>
      </c>
      <c r="G32" s="72" t="s">
        <v>534</v>
      </c>
      <c r="H32" s="706"/>
      <c r="I32" s="706"/>
      <c r="J32" s="484" t="s">
        <v>691</v>
      </c>
      <c r="K32" s="688"/>
      <c r="L32" s="57"/>
      <c r="M32" s="57"/>
      <c r="R32" s="57"/>
      <c r="U32" s="685"/>
      <c r="AA32" s="56"/>
      <c r="AB32" s="56"/>
      <c r="AC32" s="56"/>
      <c r="AD32" s="56"/>
      <c r="AE32" s="56"/>
    </row>
    <row r="33" s="53" customFormat="1" ht="22.5" customHeight="1">
      <c r="A33" s="684"/>
      <c r="C33" s="57"/>
      <c r="D33" s="124"/>
      <c r="E33" s="783" t="s">
        <v>692</v>
      </c>
      <c r="F33" s="372" t="s">
        <v>693</v>
      </c>
      <c r="G33" s="72" t="s">
        <v>534</v>
      </c>
      <c r="H33" s="706"/>
      <c r="I33" s="706"/>
      <c r="J33" s="484" t="s">
        <v>694</v>
      </c>
      <c r="K33" s="688"/>
      <c r="L33" s="57"/>
      <c r="M33" s="57"/>
      <c r="R33" s="57"/>
      <c r="U33" s="685"/>
      <c r="AA33" s="56"/>
      <c r="AB33" s="56"/>
      <c r="AC33" s="56"/>
      <c r="AD33" s="56"/>
      <c r="AE33" s="56"/>
    </row>
    <row r="34" s="53" customFormat="1" ht="22.5" customHeight="1">
      <c r="A34" s="684"/>
      <c r="C34" s="57"/>
      <c r="D34" s="124"/>
      <c r="E34" s="783" t="s">
        <v>695</v>
      </c>
      <c r="F34" s="372" t="s">
        <v>659</v>
      </c>
      <c r="G34" s="72" t="s">
        <v>534</v>
      </c>
      <c r="H34" s="706"/>
      <c r="I34" s="706"/>
      <c r="J34" s="484" t="s">
        <v>696</v>
      </c>
      <c r="K34" s="688"/>
      <c r="L34" s="57"/>
      <c r="M34" s="57"/>
      <c r="R34" s="57"/>
      <c r="U34" s="685"/>
      <c r="AA34" s="56"/>
      <c r="AB34" s="56"/>
      <c r="AC34" s="56"/>
      <c r="AD34" s="56"/>
      <c r="AE34" s="56"/>
    </row>
    <row r="35" s="53" customFormat="1" ht="33.75" customHeight="1">
      <c r="A35" s="684"/>
      <c r="C35" s="57" t="s">
        <v>570</v>
      </c>
      <c r="D35" s="124"/>
      <c r="E35" s="783" t="s">
        <v>112</v>
      </c>
      <c r="F35" s="789" t="s">
        <v>661</v>
      </c>
      <c r="G35" s="156" t="s">
        <v>294</v>
      </c>
      <c r="H35" s="735"/>
      <c r="I35" s="735"/>
      <c r="J35" s="484" t="s">
        <v>697</v>
      </c>
      <c r="K35" s="688"/>
      <c r="L35" s="57"/>
      <c r="M35" s="57"/>
      <c r="R35" s="57"/>
      <c r="U35" s="685"/>
      <c r="AA35" s="56"/>
      <c r="AB35" s="56"/>
      <c r="AC35" s="56"/>
      <c r="AD35" s="56"/>
      <c r="AE35" s="56"/>
    </row>
    <row r="36" s="53" customFormat="1" ht="22.5" customHeight="1">
      <c r="A36" s="684"/>
      <c r="C36" s="57"/>
      <c r="D36" s="124"/>
      <c r="E36" s="783" t="s">
        <v>89</v>
      </c>
      <c r="F36" s="789" t="s">
        <v>698</v>
      </c>
      <c r="G36" s="72" t="s">
        <v>665</v>
      </c>
      <c r="H36" s="696"/>
      <c r="I36" s="696"/>
      <c r="J36" s="484" t="s">
        <v>666</v>
      </c>
      <c r="K36" s="688"/>
      <c r="L36" s="57"/>
      <c r="M36" s="57"/>
      <c r="R36" s="57"/>
      <c r="U36" s="685"/>
      <c r="AA36" s="56"/>
      <c r="AB36" s="56"/>
      <c r="AC36" s="56"/>
      <c r="AD36" s="56"/>
      <c r="AE36" s="56"/>
    </row>
    <row r="37" s="53" customFormat="1" ht="22.5" customHeight="1">
      <c r="A37" s="684"/>
      <c r="C37" s="57"/>
      <c r="D37" s="124"/>
      <c r="E37" s="783" t="s">
        <v>90</v>
      </c>
      <c r="F37" s="789" t="s">
        <v>699</v>
      </c>
      <c r="G37" s="72" t="s">
        <v>668</v>
      </c>
      <c r="H37" s="696"/>
      <c r="I37" s="696"/>
      <c r="J37" s="484" t="s">
        <v>669</v>
      </c>
      <c r="K37" s="688"/>
      <c r="L37" s="57"/>
      <c r="M37" s="57"/>
      <c r="R37" s="57"/>
      <c r="U37" s="685"/>
      <c r="AA37" s="56"/>
      <c r="AB37" s="56"/>
      <c r="AC37" s="56"/>
      <c r="AD37" s="56"/>
      <c r="AE37" s="56"/>
    </row>
    <row r="38" ht="11.25" customHeight="1">
      <c r="D38" s="124"/>
    </row>
    <row r="39" ht="26.25" customHeight="1">
      <c r="D39" s="124"/>
      <c r="E39" s="475" t="s">
        <v>700</v>
      </c>
      <c r="F39" s="572" t="s">
        <v>701</v>
      </c>
      <c r="G39" s="572"/>
      <c r="H39" s="572"/>
      <c r="I39" s="572"/>
      <c r="J39" s="572"/>
    </row>
    <row r="40" s="130" customFormat="1" ht="37.5" customHeight="1">
      <c r="A40" s="684"/>
      <c r="B40" s="57"/>
      <c r="C40" s="57"/>
      <c r="D40" s="130"/>
      <c r="F40" s="572" t="s">
        <v>702</v>
      </c>
      <c r="G40" s="572"/>
      <c r="H40" s="572"/>
      <c r="I40" s="572"/>
      <c r="J40" s="572"/>
      <c r="K40" s="53"/>
      <c r="L40" s="57"/>
      <c r="M40" s="57"/>
      <c r="N40" s="53"/>
      <c r="O40" s="53"/>
      <c r="P40" s="53"/>
      <c r="Q40" s="53"/>
      <c r="R40" s="57"/>
      <c r="S40" s="53"/>
      <c r="T40" s="53"/>
      <c r="U40" s="685"/>
      <c r="V40" s="53"/>
      <c r="W40" s="53"/>
      <c r="X40" s="53"/>
      <c r="Y40" s="53"/>
      <c r="Z40" s="53"/>
      <c r="AA40" s="56"/>
      <c r="AB40" s="54"/>
      <c r="AC40" s="54"/>
      <c r="AD40" s="54"/>
      <c r="AE40" s="54"/>
    </row>
    <row r="41" s="130" customFormat="1" ht="11.25" customHeight="1">
      <c r="A41" s="684"/>
      <c r="B41" s="57"/>
      <c r="C41" s="57"/>
      <c r="D41" s="130"/>
      <c r="K41" s="53"/>
      <c r="L41" s="57"/>
      <c r="M41" s="57"/>
      <c r="N41" s="53"/>
      <c r="O41" s="53"/>
      <c r="P41" s="53"/>
      <c r="Q41" s="53"/>
      <c r="R41" s="57"/>
      <c r="S41" s="53"/>
      <c r="T41" s="53"/>
      <c r="U41" s="685"/>
      <c r="V41" s="53"/>
      <c r="W41" s="53"/>
      <c r="X41" s="53"/>
      <c r="Y41" s="53"/>
      <c r="Z41" s="53"/>
      <c r="AA41" s="56"/>
      <c r="AB41" s="54"/>
      <c r="AC41" s="54"/>
      <c r="AD41" s="54"/>
      <c r="AE41" s="54"/>
    </row>
    <row r="42" s="130" customFormat="1" ht="11.25" customHeight="1">
      <c r="A42" s="684"/>
      <c r="B42" s="57"/>
      <c r="C42" s="57"/>
      <c r="D42" s="130"/>
      <c r="K42" s="53"/>
      <c r="L42" s="57"/>
      <c r="M42" s="57"/>
      <c r="N42" s="53"/>
      <c r="O42" s="53"/>
      <c r="P42" s="53"/>
      <c r="Q42" s="53"/>
      <c r="R42" s="57"/>
      <c r="S42" s="53"/>
      <c r="T42" s="53"/>
      <c r="U42" s="685"/>
      <c r="V42" s="53"/>
      <c r="W42" s="53"/>
      <c r="X42" s="53"/>
      <c r="Y42" s="53"/>
      <c r="Z42" s="53"/>
      <c r="AA42" s="56"/>
      <c r="AB42" s="54"/>
      <c r="AC42" s="54"/>
      <c r="AD42" s="54"/>
      <c r="AE42" s="54"/>
    </row>
    <row r="43" s="130" customFormat="1" ht="11.25" customHeight="1">
      <c r="A43" s="684"/>
      <c r="B43" s="57"/>
      <c r="C43" s="57"/>
      <c r="D43" s="130"/>
      <c r="H43" s="54"/>
      <c r="I43" s="54"/>
      <c r="K43" s="53"/>
      <c r="L43" s="57"/>
      <c r="M43" s="57"/>
      <c r="N43" s="53"/>
      <c r="O43" s="53"/>
      <c r="P43" s="53"/>
      <c r="Q43" s="53"/>
      <c r="R43" s="57"/>
      <c r="S43" s="53"/>
      <c r="T43" s="53"/>
      <c r="U43" s="685"/>
      <c r="V43" s="53"/>
      <c r="W43" s="53"/>
      <c r="X43" s="53"/>
      <c r="Y43" s="53"/>
      <c r="Z43" s="53"/>
      <c r="AA43" s="56"/>
      <c r="AB43" s="54"/>
      <c r="AC43" s="54"/>
      <c r="AD43" s="54"/>
      <c r="AE43" s="54"/>
    </row>
    <row r="44" s="130" customFormat="1" ht="11.25" customHeight="1">
      <c r="A44" s="684"/>
      <c r="B44" s="57"/>
      <c r="C44" s="57"/>
      <c r="D44" s="130"/>
      <c r="K44" s="53"/>
      <c r="L44" s="57"/>
      <c r="M44" s="57"/>
      <c r="N44" s="53"/>
      <c r="O44" s="53"/>
      <c r="P44" s="53"/>
      <c r="Q44" s="53"/>
      <c r="R44" s="57"/>
      <c r="S44" s="53"/>
      <c r="T44" s="53"/>
      <c r="U44" s="685"/>
      <c r="V44" s="53"/>
      <c r="W44" s="53"/>
      <c r="X44" s="53"/>
      <c r="Y44" s="53"/>
      <c r="Z44" s="53"/>
      <c r="AA44" s="56"/>
      <c r="AB44" s="54"/>
      <c r="AC44" s="54"/>
      <c r="AD44" s="54"/>
      <c r="AE44" s="54"/>
    </row>
    <row r="45" s="130" customFormat="1" ht="11.25" customHeight="1">
      <c r="A45" s="684"/>
      <c r="B45" s="57"/>
      <c r="C45" s="57"/>
      <c r="D45" s="130"/>
      <c r="K45" s="53"/>
      <c r="L45" s="57"/>
      <c r="M45" s="57"/>
      <c r="N45" s="53"/>
      <c r="O45" s="53"/>
      <c r="P45" s="53"/>
      <c r="Q45" s="53"/>
      <c r="R45" s="57"/>
      <c r="S45" s="53"/>
      <c r="T45" s="53"/>
      <c r="U45" s="685"/>
      <c r="V45" s="53"/>
      <c r="W45" s="53"/>
      <c r="X45" s="53"/>
      <c r="Y45" s="53"/>
      <c r="Z45" s="53"/>
      <c r="AA45" s="56"/>
      <c r="AB45" s="54"/>
      <c r="AC45" s="54"/>
      <c r="AD45" s="54"/>
      <c r="AE45" s="54"/>
    </row>
    <row r="46" s="130" customFormat="1" ht="11.25" customHeight="1">
      <c r="A46" s="684"/>
      <c r="B46" s="57"/>
      <c r="C46" s="57"/>
      <c r="D46" s="130"/>
      <c r="K46" s="53"/>
      <c r="L46" s="57"/>
      <c r="M46" s="57"/>
      <c r="N46" s="53"/>
      <c r="O46" s="53"/>
      <c r="P46" s="53"/>
      <c r="Q46" s="53"/>
      <c r="R46" s="57"/>
      <c r="S46" s="53"/>
      <c r="T46" s="53"/>
      <c r="U46" s="685"/>
      <c r="V46" s="53"/>
      <c r="W46" s="53"/>
      <c r="X46" s="53"/>
      <c r="Y46" s="53"/>
      <c r="Z46" s="53"/>
      <c r="AA46" s="56"/>
      <c r="AB46" s="54"/>
      <c r="AC46" s="54"/>
      <c r="AD46" s="54"/>
      <c r="AE46" s="54"/>
    </row>
    <row r="47" s="130" customFormat="1" ht="11.25" customHeight="1">
      <c r="A47" s="684"/>
      <c r="B47" s="57"/>
      <c r="C47" s="57"/>
      <c r="D47" s="130"/>
      <c r="K47" s="53"/>
      <c r="L47" s="57"/>
      <c r="M47" s="57"/>
      <c r="N47" s="53"/>
      <c r="O47" s="53"/>
      <c r="P47" s="53"/>
      <c r="Q47" s="53"/>
      <c r="R47" s="57"/>
      <c r="S47" s="53"/>
      <c r="T47" s="53"/>
      <c r="U47" s="685"/>
      <c r="V47" s="53"/>
      <c r="W47" s="53"/>
      <c r="X47" s="53"/>
      <c r="Y47" s="53"/>
      <c r="Z47" s="53"/>
      <c r="AA47" s="56"/>
      <c r="AB47" s="54"/>
      <c r="AC47" s="54"/>
      <c r="AD47" s="54"/>
      <c r="AE47" s="54"/>
    </row>
    <row r="48" s="130" customFormat="1" ht="11.25" customHeight="1">
      <c r="A48" s="684"/>
      <c r="B48" s="57"/>
      <c r="C48" s="57"/>
      <c r="D48" s="130"/>
      <c r="K48" s="53"/>
      <c r="L48" s="57"/>
      <c r="M48" s="57"/>
      <c r="N48" s="53"/>
      <c r="O48" s="53"/>
      <c r="P48" s="53"/>
      <c r="Q48" s="53"/>
      <c r="R48" s="57"/>
      <c r="S48" s="53"/>
      <c r="T48" s="53"/>
      <c r="U48" s="685"/>
      <c r="V48" s="53"/>
      <c r="W48" s="53"/>
      <c r="X48" s="53"/>
      <c r="Y48" s="53"/>
      <c r="Z48" s="53"/>
      <c r="AA48" s="56"/>
      <c r="AB48" s="54"/>
      <c r="AC48" s="54"/>
      <c r="AD48" s="54"/>
      <c r="AE48" s="54"/>
    </row>
    <row r="49" s="130" customFormat="1" ht="11.25" customHeight="1">
      <c r="A49" s="684"/>
      <c r="B49" s="57"/>
      <c r="C49" s="57"/>
      <c r="D49" s="130"/>
      <c r="K49" s="53"/>
      <c r="L49" s="57"/>
      <c r="M49" s="57"/>
      <c r="N49" s="53"/>
      <c r="O49" s="53"/>
      <c r="P49" s="53"/>
      <c r="Q49" s="53"/>
      <c r="R49" s="57"/>
      <c r="S49" s="53"/>
      <c r="T49" s="53"/>
      <c r="U49" s="685"/>
      <c r="V49" s="53"/>
      <c r="W49" s="53"/>
      <c r="X49" s="53"/>
      <c r="Y49" s="53"/>
      <c r="Z49" s="53"/>
      <c r="AA49" s="56"/>
      <c r="AB49" s="54"/>
      <c r="AC49" s="54"/>
      <c r="AD49" s="54"/>
      <c r="AE49" s="54"/>
    </row>
    <row r="50" s="130" customFormat="1" ht="11.25" customHeight="1">
      <c r="A50" s="684"/>
      <c r="B50" s="57"/>
      <c r="C50" s="57"/>
      <c r="D50" s="130"/>
      <c r="K50" s="53"/>
      <c r="L50" s="57"/>
      <c r="M50" s="57"/>
      <c r="N50" s="53"/>
      <c r="O50" s="53"/>
      <c r="P50" s="53"/>
      <c r="Q50" s="53"/>
      <c r="R50" s="57"/>
      <c r="S50" s="53"/>
      <c r="T50" s="53"/>
      <c r="U50" s="685"/>
      <c r="V50" s="53"/>
      <c r="W50" s="53"/>
      <c r="X50" s="53"/>
      <c r="Y50" s="53"/>
      <c r="Z50" s="53"/>
      <c r="AA50" s="56"/>
      <c r="AB50" s="54"/>
      <c r="AC50" s="54"/>
      <c r="AD50" s="54"/>
      <c r="AE50" s="54"/>
    </row>
    <row r="51" s="130" customFormat="1" ht="11.25" customHeight="1">
      <c r="A51" s="684"/>
      <c r="B51" s="57"/>
      <c r="C51" s="57"/>
      <c r="D51" s="130"/>
      <c r="K51" s="53"/>
      <c r="L51" s="57"/>
      <c r="M51" s="57"/>
      <c r="N51" s="53"/>
      <c r="O51" s="53"/>
      <c r="P51" s="53"/>
      <c r="Q51" s="53"/>
      <c r="R51" s="57"/>
      <c r="S51" s="53"/>
      <c r="T51" s="53"/>
      <c r="U51" s="685"/>
      <c r="V51" s="53"/>
      <c r="W51" s="53"/>
      <c r="X51" s="53"/>
      <c r="Y51" s="53"/>
      <c r="Z51" s="53"/>
      <c r="AA51" s="56"/>
      <c r="AB51" s="54"/>
      <c r="AC51" s="54"/>
      <c r="AD51" s="54"/>
      <c r="AE51" s="54"/>
    </row>
    <row r="52" s="130" customFormat="1" ht="11.25" customHeight="1">
      <c r="A52" s="684"/>
      <c r="B52" s="57"/>
      <c r="C52" s="57"/>
      <c r="D52" s="130"/>
      <c r="K52" s="53"/>
      <c r="L52" s="57"/>
      <c r="M52" s="57"/>
      <c r="N52" s="53"/>
      <c r="O52" s="53"/>
      <c r="P52" s="53"/>
      <c r="Q52" s="53"/>
      <c r="R52" s="57"/>
      <c r="S52" s="53"/>
      <c r="T52" s="53"/>
      <c r="U52" s="685"/>
      <c r="V52" s="53"/>
      <c r="W52" s="53"/>
      <c r="X52" s="53"/>
      <c r="Y52" s="53"/>
      <c r="Z52" s="53"/>
      <c r="AA52" s="56"/>
      <c r="AB52" s="54"/>
      <c r="AC52" s="54"/>
      <c r="AD52" s="54"/>
      <c r="AE52" s="54"/>
    </row>
    <row r="53" s="130" customFormat="1" ht="11.25" customHeight="1">
      <c r="A53" s="684"/>
      <c r="B53" s="57"/>
      <c r="C53" s="57"/>
      <c r="D53" s="130"/>
      <c r="K53" s="53"/>
      <c r="L53" s="57"/>
      <c r="M53" s="57"/>
      <c r="N53" s="53"/>
      <c r="O53" s="53"/>
      <c r="P53" s="53"/>
      <c r="Q53" s="53"/>
      <c r="R53" s="57"/>
      <c r="S53" s="53"/>
      <c r="T53" s="53"/>
      <c r="U53" s="685"/>
      <c r="V53" s="53"/>
      <c r="W53" s="53"/>
      <c r="X53" s="53"/>
      <c r="Y53" s="53"/>
      <c r="Z53" s="53"/>
      <c r="AA53" s="56"/>
      <c r="AB53" s="54"/>
      <c r="AC53" s="54"/>
      <c r="AD53" s="54"/>
      <c r="AE53" s="54"/>
    </row>
    <row r="54" s="130" customFormat="1" ht="11.25" customHeight="1">
      <c r="A54" s="684"/>
      <c r="B54" s="57"/>
      <c r="C54" s="57"/>
      <c r="D54" s="130"/>
      <c r="K54" s="53"/>
      <c r="L54" s="57"/>
      <c r="M54" s="57"/>
      <c r="N54" s="53"/>
      <c r="O54" s="53"/>
      <c r="P54" s="53"/>
      <c r="Q54" s="53"/>
      <c r="R54" s="57"/>
      <c r="S54" s="53"/>
      <c r="T54" s="53"/>
      <c r="U54" s="685"/>
      <c r="V54" s="53"/>
      <c r="W54" s="53"/>
      <c r="X54" s="53"/>
      <c r="Y54" s="53"/>
      <c r="Z54" s="53"/>
      <c r="AA54" s="56"/>
      <c r="AB54" s="54"/>
      <c r="AC54" s="54"/>
      <c r="AD54" s="54"/>
      <c r="AE54" s="54"/>
    </row>
    <row r="55" s="130" customFormat="1" ht="11.25" customHeight="1">
      <c r="A55" s="684"/>
      <c r="B55" s="57"/>
      <c r="C55" s="57"/>
      <c r="D55" s="130"/>
      <c r="K55" s="53"/>
      <c r="L55" s="57"/>
      <c r="M55" s="57"/>
      <c r="N55" s="53"/>
      <c r="O55" s="53"/>
      <c r="P55" s="53"/>
      <c r="Q55" s="53"/>
      <c r="R55" s="57"/>
      <c r="S55" s="53"/>
      <c r="T55" s="53"/>
      <c r="U55" s="685"/>
      <c r="V55" s="53"/>
      <c r="W55" s="53"/>
      <c r="X55" s="53"/>
      <c r="Y55" s="53"/>
      <c r="Z55" s="53"/>
      <c r="AA55" s="56"/>
      <c r="AB55" s="54"/>
      <c r="AC55" s="54"/>
      <c r="AD55" s="54"/>
      <c r="AE55" s="54"/>
    </row>
    <row r="56" s="130" customFormat="1" ht="11.25" customHeight="1">
      <c r="A56" s="684"/>
      <c r="B56" s="57"/>
      <c r="C56" s="57"/>
      <c r="D56" s="130"/>
      <c r="K56" s="53"/>
      <c r="L56" s="57"/>
      <c r="M56" s="57"/>
      <c r="N56" s="53"/>
      <c r="O56" s="53"/>
      <c r="P56" s="53"/>
      <c r="Q56" s="53"/>
      <c r="R56" s="57"/>
      <c r="S56" s="53"/>
      <c r="T56" s="53"/>
      <c r="U56" s="685"/>
      <c r="V56" s="53"/>
      <c r="W56" s="53"/>
      <c r="X56" s="53"/>
      <c r="Y56" s="53"/>
      <c r="Z56" s="53"/>
      <c r="AA56" s="56"/>
      <c r="AB56" s="54"/>
      <c r="AC56" s="54"/>
      <c r="AD56" s="54"/>
      <c r="AE56" s="54"/>
    </row>
    <row r="57" s="130" customFormat="1" ht="11.25" customHeight="1">
      <c r="A57" s="684"/>
      <c r="B57" s="57"/>
      <c r="C57" s="57"/>
      <c r="D57" s="130"/>
      <c r="K57" s="53"/>
      <c r="L57" s="57"/>
      <c r="M57" s="57"/>
      <c r="N57" s="53"/>
      <c r="O57" s="53"/>
      <c r="P57" s="53"/>
      <c r="Q57" s="53"/>
      <c r="R57" s="57"/>
      <c r="S57" s="53"/>
      <c r="T57" s="53"/>
      <c r="U57" s="685"/>
      <c r="V57" s="53"/>
      <c r="W57" s="53"/>
      <c r="X57" s="53"/>
      <c r="Y57" s="53"/>
      <c r="Z57" s="53"/>
      <c r="AA57" s="56"/>
      <c r="AB57" s="54"/>
      <c r="AC57" s="54"/>
      <c r="AD57" s="54"/>
      <c r="AE57" s="54"/>
    </row>
    <row r="58" s="130" customFormat="1" ht="11.25" customHeight="1">
      <c r="A58" s="684"/>
      <c r="B58" s="57"/>
      <c r="C58" s="57"/>
      <c r="D58" s="130"/>
      <c r="K58" s="53"/>
      <c r="L58" s="57"/>
      <c r="M58" s="57"/>
      <c r="N58" s="53"/>
      <c r="O58" s="53"/>
      <c r="P58" s="53"/>
      <c r="Q58" s="53"/>
      <c r="R58" s="57"/>
      <c r="S58" s="53"/>
      <c r="T58" s="53"/>
      <c r="U58" s="685"/>
      <c r="V58" s="53"/>
      <c r="W58" s="53"/>
      <c r="X58" s="53"/>
      <c r="Y58" s="53"/>
      <c r="Z58" s="53"/>
      <c r="AA58" s="56"/>
      <c r="AB58" s="54"/>
      <c r="AC58" s="54"/>
      <c r="AD58" s="54"/>
      <c r="AE58" s="54"/>
    </row>
    <row r="59" s="130" customFormat="1" ht="11.25" customHeight="1">
      <c r="A59" s="684"/>
      <c r="B59" s="57"/>
      <c r="C59" s="57"/>
      <c r="D59" s="130"/>
      <c r="K59" s="53"/>
      <c r="L59" s="57"/>
      <c r="M59" s="57"/>
      <c r="N59" s="53"/>
      <c r="O59" s="53"/>
      <c r="P59" s="53"/>
      <c r="Q59" s="53"/>
      <c r="R59" s="57"/>
      <c r="S59" s="53"/>
      <c r="T59" s="53"/>
      <c r="U59" s="685"/>
      <c r="V59" s="53"/>
      <c r="W59" s="53"/>
      <c r="X59" s="53"/>
      <c r="Y59" s="53"/>
      <c r="Z59" s="53"/>
      <c r="AA59" s="56"/>
      <c r="AB59" s="54"/>
      <c r="AC59" s="54"/>
      <c r="AD59" s="54"/>
      <c r="AE59" s="54"/>
    </row>
    <row r="60" s="130" customFormat="1" ht="11.25" customHeight="1">
      <c r="A60" s="684"/>
      <c r="B60" s="57"/>
      <c r="C60" s="57"/>
      <c r="D60" s="130"/>
      <c r="K60" s="53"/>
      <c r="L60" s="57"/>
      <c r="M60" s="57"/>
      <c r="N60" s="53"/>
      <c r="O60" s="53"/>
      <c r="P60" s="53"/>
      <c r="Q60" s="53"/>
      <c r="R60" s="57"/>
      <c r="S60" s="53"/>
      <c r="T60" s="53"/>
      <c r="U60" s="685"/>
      <c r="V60" s="53"/>
      <c r="W60" s="53"/>
      <c r="X60" s="53"/>
      <c r="Y60" s="53"/>
      <c r="Z60" s="53"/>
      <c r="AA60" s="56"/>
      <c r="AB60" s="54"/>
      <c r="AC60" s="54"/>
      <c r="AD60" s="54"/>
      <c r="AE60" s="54"/>
    </row>
    <row r="61" s="130" customFormat="1" ht="11.25" customHeight="1">
      <c r="A61" s="684"/>
      <c r="B61" s="57"/>
      <c r="C61" s="57"/>
      <c r="D61" s="130"/>
      <c r="K61" s="53"/>
      <c r="L61" s="57"/>
      <c r="M61" s="57"/>
      <c r="N61" s="53"/>
      <c r="O61" s="53"/>
      <c r="P61" s="53"/>
      <c r="Q61" s="53"/>
      <c r="R61" s="57"/>
      <c r="S61" s="53"/>
      <c r="T61" s="53"/>
      <c r="U61" s="685"/>
      <c r="V61" s="53"/>
      <c r="W61" s="53"/>
      <c r="X61" s="53"/>
      <c r="Y61" s="53"/>
      <c r="Z61" s="53"/>
      <c r="AA61" s="56"/>
      <c r="AB61" s="54"/>
      <c r="AC61" s="54"/>
      <c r="AD61" s="54"/>
      <c r="AE61" s="54"/>
    </row>
    <row r="62" s="130" customFormat="1" ht="11.25" customHeight="1">
      <c r="A62" s="684"/>
      <c r="B62" s="57"/>
      <c r="C62" s="57"/>
      <c r="D62" s="130"/>
      <c r="K62" s="53"/>
      <c r="L62" s="57"/>
      <c r="M62" s="57"/>
      <c r="N62" s="53"/>
      <c r="O62" s="53"/>
      <c r="P62" s="53"/>
      <c r="Q62" s="53"/>
      <c r="R62" s="57"/>
      <c r="S62" s="53"/>
      <c r="T62" s="53"/>
      <c r="U62" s="685"/>
      <c r="V62" s="53"/>
      <c r="W62" s="53"/>
      <c r="X62" s="53"/>
      <c r="Y62" s="53"/>
      <c r="Z62" s="53"/>
      <c r="AA62" s="56"/>
      <c r="AB62" s="54"/>
      <c r="AC62" s="54"/>
      <c r="AD62" s="54"/>
      <c r="AE62" s="54"/>
    </row>
    <row r="63" s="130" customFormat="1" ht="11.25" customHeight="1">
      <c r="A63" s="684"/>
      <c r="B63" s="57"/>
      <c r="C63" s="57"/>
      <c r="D63" s="130"/>
      <c r="K63" s="53"/>
      <c r="L63" s="57"/>
      <c r="M63" s="57"/>
      <c r="N63" s="53"/>
      <c r="O63" s="53"/>
      <c r="P63" s="53"/>
      <c r="Q63" s="53"/>
      <c r="R63" s="57"/>
      <c r="S63" s="53"/>
      <c r="T63" s="53"/>
      <c r="U63" s="685"/>
      <c r="V63" s="53"/>
      <c r="W63" s="53"/>
      <c r="X63" s="53"/>
      <c r="Y63" s="53"/>
      <c r="Z63" s="53"/>
      <c r="AA63" s="56"/>
      <c r="AB63" s="54"/>
      <c r="AC63" s="54"/>
      <c r="AD63" s="54"/>
      <c r="AE63" s="54"/>
    </row>
    <row r="64" s="130" customFormat="1" ht="11.25" customHeight="1">
      <c r="A64" s="684"/>
      <c r="B64" s="57"/>
      <c r="C64" s="57"/>
      <c r="D64" s="130"/>
      <c r="K64" s="53"/>
      <c r="L64" s="57"/>
      <c r="M64" s="57"/>
      <c r="N64" s="53"/>
      <c r="O64" s="53"/>
      <c r="P64" s="53"/>
      <c r="Q64" s="53"/>
      <c r="R64" s="57"/>
      <c r="S64" s="53"/>
      <c r="T64" s="53"/>
      <c r="U64" s="685"/>
      <c r="V64" s="53"/>
      <c r="W64" s="53"/>
      <c r="X64" s="53"/>
      <c r="Y64" s="53"/>
      <c r="Z64" s="53"/>
      <c r="AA64" s="56"/>
      <c r="AB64" s="54"/>
      <c r="AC64" s="54"/>
      <c r="AD64" s="54"/>
      <c r="AE64" s="54"/>
    </row>
    <row r="65" s="130" customFormat="1" ht="11.25" customHeight="1">
      <c r="A65" s="684"/>
      <c r="B65" s="57"/>
      <c r="C65" s="57"/>
      <c r="D65" s="130"/>
      <c r="K65" s="53"/>
      <c r="L65" s="57"/>
      <c r="M65" s="57"/>
      <c r="N65" s="53"/>
      <c r="O65" s="53"/>
      <c r="P65" s="53"/>
      <c r="Q65" s="53"/>
      <c r="R65" s="57"/>
      <c r="S65" s="53"/>
      <c r="T65" s="53"/>
      <c r="U65" s="685"/>
      <c r="V65" s="53"/>
      <c r="W65" s="53"/>
      <c r="X65" s="53"/>
      <c r="Y65" s="53"/>
      <c r="Z65" s="53"/>
      <c r="AA65" s="56"/>
      <c r="AB65" s="54"/>
      <c r="AC65" s="54"/>
      <c r="AD65" s="54"/>
      <c r="AE65" s="54"/>
    </row>
    <row r="66" s="130" customFormat="1" ht="11.25" customHeight="1">
      <c r="A66" s="684"/>
      <c r="B66" s="57"/>
      <c r="C66" s="57"/>
      <c r="D66" s="130"/>
      <c r="K66" s="53"/>
      <c r="L66" s="57"/>
      <c r="M66" s="57"/>
      <c r="N66" s="53"/>
      <c r="O66" s="53"/>
      <c r="P66" s="53"/>
      <c r="Q66" s="53"/>
      <c r="R66" s="57"/>
      <c r="S66" s="53"/>
      <c r="T66" s="53"/>
      <c r="U66" s="685"/>
      <c r="V66" s="53"/>
      <c r="W66" s="53"/>
      <c r="X66" s="53"/>
      <c r="Y66" s="53"/>
      <c r="Z66" s="53"/>
      <c r="AA66" s="56"/>
      <c r="AB66" s="54"/>
      <c r="AC66" s="54"/>
      <c r="AD66" s="54"/>
      <c r="AE66" s="54"/>
    </row>
    <row r="67" s="130" customFormat="1" ht="11.25" customHeight="1">
      <c r="A67" s="684"/>
      <c r="B67" s="57"/>
      <c r="C67" s="57"/>
      <c r="D67" s="130"/>
      <c r="K67" s="53"/>
      <c r="L67" s="57"/>
      <c r="M67" s="57"/>
      <c r="N67" s="53"/>
      <c r="O67" s="53"/>
      <c r="P67" s="53"/>
      <c r="Q67" s="53"/>
      <c r="R67" s="57"/>
      <c r="S67" s="53"/>
      <c r="T67" s="53"/>
      <c r="U67" s="685"/>
      <c r="V67" s="53"/>
      <c r="W67" s="53"/>
      <c r="X67" s="53"/>
      <c r="Y67" s="53"/>
      <c r="Z67" s="53"/>
      <c r="AA67" s="56"/>
      <c r="AB67" s="54"/>
      <c r="AC67" s="54"/>
      <c r="AD67" s="54"/>
      <c r="AE67" s="54"/>
    </row>
    <row r="68" s="130" customFormat="1" ht="11.25" customHeight="1">
      <c r="A68" s="684"/>
      <c r="B68" s="57"/>
      <c r="C68" s="57"/>
      <c r="D68" s="130"/>
      <c r="K68" s="53"/>
      <c r="L68" s="57"/>
      <c r="M68" s="57"/>
      <c r="N68" s="53"/>
      <c r="O68" s="53"/>
      <c r="P68" s="53"/>
      <c r="Q68" s="53"/>
      <c r="R68" s="57"/>
      <c r="S68" s="53"/>
      <c r="T68" s="53"/>
      <c r="U68" s="685"/>
      <c r="V68" s="53"/>
      <c r="W68" s="53"/>
      <c r="X68" s="53"/>
      <c r="Y68" s="53"/>
      <c r="Z68" s="53"/>
      <c r="AA68" s="56"/>
      <c r="AB68" s="54"/>
      <c r="AC68" s="54"/>
      <c r="AD68" s="54"/>
      <c r="AE68" s="54"/>
    </row>
    <row r="69" s="130" customFormat="1" ht="11.25" customHeight="1">
      <c r="A69" s="684"/>
      <c r="B69" s="57"/>
      <c r="C69" s="57"/>
      <c r="D69" s="130"/>
      <c r="K69" s="53"/>
      <c r="L69" s="57"/>
      <c r="M69" s="57"/>
      <c r="N69" s="53"/>
      <c r="O69" s="53"/>
      <c r="P69" s="53"/>
      <c r="Q69" s="53"/>
      <c r="R69" s="57"/>
      <c r="S69" s="53"/>
      <c r="T69" s="53"/>
      <c r="U69" s="685"/>
      <c r="V69" s="53"/>
      <c r="W69" s="53"/>
      <c r="X69" s="53"/>
      <c r="Y69" s="53"/>
      <c r="Z69" s="53"/>
      <c r="AA69" s="56"/>
      <c r="AB69" s="54"/>
      <c r="AC69" s="54"/>
      <c r="AD69" s="54"/>
      <c r="AE69" s="54"/>
    </row>
    <row r="70" s="130" customFormat="1" ht="11.25" customHeight="1">
      <c r="A70" s="684"/>
      <c r="B70" s="57"/>
      <c r="C70" s="57"/>
      <c r="D70" s="130"/>
      <c r="K70" s="53"/>
      <c r="L70" s="57"/>
      <c r="M70" s="57"/>
      <c r="N70" s="53"/>
      <c r="O70" s="53"/>
      <c r="P70" s="53"/>
      <c r="Q70" s="53"/>
      <c r="R70" s="57"/>
      <c r="S70" s="53"/>
      <c r="T70" s="53"/>
      <c r="U70" s="685"/>
      <c r="V70" s="53"/>
      <c r="W70" s="53"/>
      <c r="X70" s="53"/>
      <c r="Y70" s="53"/>
      <c r="Z70" s="53"/>
      <c r="AA70" s="56"/>
      <c r="AB70" s="54"/>
      <c r="AC70" s="54"/>
      <c r="AD70" s="54"/>
      <c r="AE70" s="54"/>
    </row>
    <row r="71" s="130" customFormat="1" ht="11.25" customHeight="1">
      <c r="A71" s="684"/>
      <c r="B71" s="57"/>
      <c r="C71" s="57"/>
      <c r="D71" s="130"/>
      <c r="K71" s="53"/>
      <c r="L71" s="57"/>
      <c r="M71" s="57"/>
      <c r="N71" s="53"/>
      <c r="O71" s="53"/>
      <c r="P71" s="53"/>
      <c r="Q71" s="53"/>
      <c r="R71" s="57"/>
      <c r="S71" s="53"/>
      <c r="T71" s="53"/>
      <c r="U71" s="685"/>
      <c r="V71" s="53"/>
      <c r="W71" s="53"/>
      <c r="X71" s="53"/>
      <c r="Y71" s="53"/>
      <c r="Z71" s="53"/>
      <c r="AA71" s="56"/>
      <c r="AB71" s="54"/>
      <c r="AC71" s="54"/>
      <c r="AD71" s="54"/>
      <c r="AE71" s="54"/>
    </row>
    <row r="72" s="130" customFormat="1" ht="11.25" customHeight="1">
      <c r="A72" s="684"/>
      <c r="B72" s="57"/>
      <c r="C72" s="57"/>
      <c r="D72" s="130"/>
      <c r="K72" s="53"/>
      <c r="L72" s="57"/>
      <c r="M72" s="57"/>
      <c r="N72" s="53"/>
      <c r="O72" s="53"/>
      <c r="P72" s="53"/>
      <c r="Q72" s="53"/>
      <c r="R72" s="57"/>
      <c r="S72" s="53"/>
      <c r="T72" s="53"/>
      <c r="U72" s="685"/>
      <c r="V72" s="53"/>
      <c r="W72" s="53"/>
      <c r="X72" s="53"/>
      <c r="Y72" s="53"/>
      <c r="Z72" s="53"/>
      <c r="AA72" s="56"/>
      <c r="AB72" s="54"/>
      <c r="AC72" s="54"/>
      <c r="AD72" s="54"/>
      <c r="AE72" s="54"/>
    </row>
    <row r="73" s="130" customFormat="1" ht="11.25" customHeight="1">
      <c r="A73" s="684"/>
      <c r="B73" s="57"/>
      <c r="C73" s="57"/>
      <c r="D73" s="130"/>
      <c r="K73" s="53"/>
      <c r="L73" s="57"/>
      <c r="M73" s="57"/>
      <c r="N73" s="53"/>
      <c r="O73" s="53"/>
      <c r="P73" s="53"/>
      <c r="Q73" s="53"/>
      <c r="R73" s="57"/>
      <c r="S73" s="53"/>
      <c r="T73" s="53"/>
      <c r="U73" s="685"/>
      <c r="V73" s="53"/>
      <c r="W73" s="53"/>
      <c r="X73" s="53"/>
      <c r="Y73" s="53"/>
      <c r="Z73" s="53"/>
      <c r="AA73" s="56"/>
      <c r="AB73" s="54"/>
      <c r="AC73" s="54"/>
      <c r="AD73" s="54"/>
      <c r="AE73" s="54"/>
    </row>
    <row r="74" s="130" customFormat="1" ht="11.25" customHeight="1">
      <c r="A74" s="684"/>
      <c r="B74" s="57"/>
      <c r="C74" s="57"/>
      <c r="D74" s="130"/>
      <c r="K74" s="53"/>
      <c r="L74" s="57"/>
      <c r="M74" s="57"/>
      <c r="N74" s="53"/>
      <c r="O74" s="53"/>
      <c r="P74" s="53"/>
      <c r="Q74" s="53"/>
      <c r="R74" s="57"/>
      <c r="S74" s="53"/>
      <c r="T74" s="53"/>
      <c r="U74" s="685"/>
      <c r="V74" s="53"/>
      <c r="W74" s="53"/>
      <c r="X74" s="53"/>
      <c r="Y74" s="53"/>
      <c r="Z74" s="53"/>
      <c r="AA74" s="56"/>
      <c r="AB74" s="54"/>
      <c r="AC74" s="54"/>
      <c r="AD74" s="54"/>
      <c r="AE74" s="54"/>
    </row>
    <row r="75" s="130" customFormat="1" ht="11.25" customHeight="1">
      <c r="A75" s="684"/>
      <c r="B75" s="57"/>
      <c r="C75" s="57"/>
      <c r="D75" s="130"/>
      <c r="K75" s="53"/>
      <c r="L75" s="57"/>
      <c r="M75" s="57"/>
      <c r="N75" s="53"/>
      <c r="O75" s="53"/>
      <c r="P75" s="53"/>
      <c r="Q75" s="53"/>
      <c r="R75" s="57"/>
      <c r="S75" s="53"/>
      <c r="T75" s="53"/>
      <c r="U75" s="685"/>
      <c r="V75" s="53"/>
      <c r="W75" s="53"/>
      <c r="X75" s="53"/>
      <c r="Y75" s="53"/>
      <c r="Z75" s="53"/>
      <c r="AA75" s="56"/>
      <c r="AB75" s="54"/>
      <c r="AC75" s="54"/>
      <c r="AD75" s="54"/>
      <c r="AE75" s="54"/>
    </row>
    <row r="76" s="130" customFormat="1" ht="11.25" customHeight="1">
      <c r="A76" s="684"/>
      <c r="B76" s="57"/>
      <c r="C76" s="57"/>
      <c r="D76" s="130"/>
      <c r="K76" s="53"/>
      <c r="L76" s="57"/>
      <c r="M76" s="57"/>
      <c r="N76" s="53"/>
      <c r="O76" s="53"/>
      <c r="P76" s="53"/>
      <c r="Q76" s="53"/>
      <c r="R76" s="57"/>
      <c r="S76" s="53"/>
      <c r="T76" s="53"/>
      <c r="U76" s="685"/>
      <c r="V76" s="53"/>
      <c r="W76" s="53"/>
      <c r="X76" s="53"/>
      <c r="Y76" s="53"/>
      <c r="Z76" s="53"/>
      <c r="AA76" s="56"/>
      <c r="AB76" s="54"/>
      <c r="AC76" s="54"/>
      <c r="AD76" s="54"/>
      <c r="AE76" s="54"/>
    </row>
    <row r="77" s="130" customFormat="1" ht="11.25" customHeight="1">
      <c r="A77" s="684"/>
      <c r="B77" s="57"/>
      <c r="C77" s="57"/>
      <c r="D77" s="130"/>
      <c r="K77" s="53"/>
      <c r="L77" s="57"/>
      <c r="M77" s="57"/>
      <c r="N77" s="53"/>
      <c r="O77" s="53"/>
      <c r="P77" s="53"/>
      <c r="Q77" s="53"/>
      <c r="R77" s="57"/>
      <c r="S77" s="53"/>
      <c r="T77" s="53"/>
      <c r="U77" s="685"/>
      <c r="V77" s="53"/>
      <c r="W77" s="53"/>
      <c r="X77" s="53"/>
      <c r="Y77" s="53"/>
      <c r="Z77" s="53"/>
      <c r="AA77" s="56"/>
      <c r="AB77" s="54"/>
      <c r="AC77" s="54"/>
      <c r="AD77" s="54"/>
      <c r="AE77" s="54"/>
    </row>
    <row r="78" s="130" customFormat="1" ht="11.25" customHeight="1">
      <c r="A78" s="684"/>
      <c r="B78" s="57"/>
      <c r="C78" s="57"/>
      <c r="D78" s="130"/>
      <c r="K78" s="53"/>
      <c r="L78" s="57"/>
      <c r="M78" s="57"/>
      <c r="N78" s="53"/>
      <c r="O78" s="53"/>
      <c r="P78" s="53"/>
      <c r="Q78" s="53"/>
      <c r="R78" s="57"/>
      <c r="S78" s="53"/>
      <c r="T78" s="53"/>
      <c r="U78" s="685"/>
      <c r="V78" s="53"/>
      <c r="W78" s="53"/>
      <c r="X78" s="53"/>
      <c r="Y78" s="53"/>
      <c r="Z78" s="53"/>
      <c r="AA78" s="56"/>
      <c r="AB78" s="54"/>
      <c r="AC78" s="54"/>
      <c r="AD78" s="54"/>
      <c r="AE78" s="54"/>
    </row>
    <row r="79" s="130" customFormat="1" ht="11.25" customHeight="1">
      <c r="A79" s="684"/>
      <c r="B79" s="57"/>
      <c r="C79" s="57"/>
      <c r="D79" s="130"/>
      <c r="K79" s="53"/>
      <c r="L79" s="57"/>
      <c r="M79" s="57"/>
      <c r="N79" s="53"/>
      <c r="O79" s="53"/>
      <c r="P79" s="53"/>
      <c r="Q79" s="53"/>
      <c r="R79" s="57"/>
      <c r="S79" s="53"/>
      <c r="T79" s="53"/>
      <c r="U79" s="685"/>
      <c r="V79" s="53"/>
      <c r="W79" s="53"/>
      <c r="X79" s="53"/>
      <c r="Y79" s="53"/>
      <c r="Z79" s="53"/>
      <c r="AA79" s="56"/>
      <c r="AB79" s="54"/>
      <c r="AC79" s="54"/>
      <c r="AD79" s="54"/>
      <c r="AE79" s="54"/>
    </row>
    <row r="80" s="130" customFormat="1" ht="11.25" customHeight="1">
      <c r="A80" s="684"/>
      <c r="B80" s="57"/>
      <c r="C80" s="57"/>
      <c r="D80" s="130"/>
      <c r="K80" s="53"/>
      <c r="L80" s="57"/>
      <c r="M80" s="57"/>
      <c r="N80" s="53"/>
      <c r="O80" s="53"/>
      <c r="P80" s="53"/>
      <c r="Q80" s="53"/>
      <c r="R80" s="57"/>
      <c r="S80" s="53"/>
      <c r="T80" s="53"/>
      <c r="U80" s="685"/>
      <c r="V80" s="53"/>
      <c r="W80" s="53"/>
      <c r="X80" s="53"/>
      <c r="Y80" s="53"/>
      <c r="Z80" s="53"/>
      <c r="AA80" s="56"/>
      <c r="AB80" s="54"/>
      <c r="AC80" s="54"/>
      <c r="AD80" s="54"/>
      <c r="AE80" s="54"/>
    </row>
    <row r="81" s="130" customFormat="1" ht="11.25" customHeight="1">
      <c r="A81" s="684"/>
      <c r="B81" s="57"/>
      <c r="C81" s="57"/>
      <c r="D81" s="130"/>
      <c r="K81" s="53"/>
      <c r="L81" s="57"/>
      <c r="M81" s="57"/>
      <c r="N81" s="53"/>
      <c r="O81" s="53"/>
      <c r="P81" s="53"/>
      <c r="Q81" s="53"/>
      <c r="R81" s="57"/>
      <c r="S81" s="53"/>
      <c r="T81" s="53"/>
      <c r="U81" s="685"/>
      <c r="V81" s="53"/>
      <c r="W81" s="53"/>
      <c r="X81" s="53"/>
      <c r="Y81" s="53"/>
      <c r="Z81" s="53"/>
      <c r="AA81" s="56"/>
      <c r="AB81" s="54"/>
      <c r="AC81" s="54"/>
      <c r="AD81" s="54"/>
      <c r="AE81" s="54"/>
    </row>
    <row r="82" s="130" customFormat="1" ht="11.25" customHeight="1">
      <c r="A82" s="684"/>
      <c r="B82" s="57"/>
      <c r="C82" s="57"/>
      <c r="D82" s="130"/>
      <c r="K82" s="53"/>
      <c r="L82" s="57"/>
      <c r="M82" s="57"/>
      <c r="N82" s="53"/>
      <c r="O82" s="53"/>
      <c r="P82" s="53"/>
      <c r="Q82" s="53"/>
      <c r="R82" s="57"/>
      <c r="S82" s="53"/>
      <c r="T82" s="53"/>
      <c r="U82" s="685"/>
      <c r="V82" s="53"/>
      <c r="W82" s="53"/>
      <c r="X82" s="53"/>
      <c r="Y82" s="53"/>
      <c r="Z82" s="53"/>
      <c r="AA82" s="56"/>
      <c r="AB82" s="54"/>
      <c r="AC82" s="54"/>
      <c r="AD82" s="54"/>
      <c r="AE82" s="54"/>
    </row>
    <row r="83" s="130" customFormat="1" ht="11.25" customHeight="1">
      <c r="A83" s="684"/>
      <c r="B83" s="57"/>
      <c r="C83" s="57"/>
      <c r="D83" s="130"/>
      <c r="K83" s="53"/>
      <c r="L83" s="57"/>
      <c r="M83" s="57"/>
      <c r="N83" s="53"/>
      <c r="O83" s="53"/>
      <c r="P83" s="53"/>
      <c r="Q83" s="53"/>
      <c r="R83" s="57"/>
      <c r="S83" s="53"/>
      <c r="T83" s="53"/>
      <c r="U83" s="685"/>
      <c r="V83" s="53"/>
      <c r="W83" s="53"/>
      <c r="X83" s="53"/>
      <c r="Y83" s="53"/>
      <c r="Z83" s="53"/>
      <c r="AA83" s="56"/>
      <c r="AB83" s="54"/>
      <c r="AC83" s="54"/>
      <c r="AD83" s="54"/>
      <c r="AE83" s="54"/>
    </row>
    <row r="84" s="130" customFormat="1" ht="11.25" customHeight="1">
      <c r="A84" s="684"/>
      <c r="B84" s="57"/>
      <c r="C84" s="57"/>
      <c r="D84" s="130"/>
      <c r="K84" s="53"/>
      <c r="L84" s="57"/>
      <c r="M84" s="57"/>
      <c r="N84" s="53"/>
      <c r="O84" s="53"/>
      <c r="P84" s="53"/>
      <c r="Q84" s="53"/>
      <c r="R84" s="57"/>
      <c r="S84" s="53"/>
      <c r="T84" s="53"/>
      <c r="U84" s="685"/>
      <c r="V84" s="53"/>
      <c r="W84" s="53"/>
      <c r="X84" s="53"/>
      <c r="Y84" s="53"/>
      <c r="Z84" s="53"/>
      <c r="AA84" s="56"/>
      <c r="AB84" s="54"/>
      <c r="AC84" s="54"/>
      <c r="AD84" s="54"/>
      <c r="AE84" s="54"/>
    </row>
    <row r="85" s="130" customFormat="1" ht="11.25" customHeight="1">
      <c r="A85" s="684"/>
      <c r="B85" s="57"/>
      <c r="C85" s="57"/>
      <c r="D85" s="130"/>
      <c r="K85" s="53"/>
      <c r="L85" s="57"/>
      <c r="M85" s="57"/>
      <c r="N85" s="53"/>
      <c r="O85" s="53"/>
      <c r="P85" s="53"/>
      <c r="Q85" s="53"/>
      <c r="R85" s="57"/>
      <c r="S85" s="53"/>
      <c r="T85" s="53"/>
      <c r="U85" s="685"/>
      <c r="V85" s="53"/>
      <c r="W85" s="53"/>
      <c r="X85" s="53"/>
      <c r="Y85" s="53"/>
      <c r="Z85" s="53"/>
      <c r="AA85" s="56"/>
      <c r="AB85" s="54"/>
      <c r="AC85" s="54"/>
      <c r="AD85" s="54"/>
      <c r="AE85" s="54"/>
    </row>
    <row r="86" s="130" customFormat="1" ht="11.25" customHeight="1">
      <c r="A86" s="684"/>
      <c r="B86" s="57"/>
      <c r="C86" s="57"/>
      <c r="D86" s="130"/>
      <c r="K86" s="53"/>
      <c r="L86" s="57"/>
      <c r="M86" s="57"/>
      <c r="N86" s="53"/>
      <c r="O86" s="53"/>
      <c r="P86" s="53"/>
      <c r="Q86" s="53"/>
      <c r="R86" s="57"/>
      <c r="S86" s="53"/>
      <c r="T86" s="53"/>
      <c r="U86" s="685"/>
      <c r="V86" s="53"/>
      <c r="W86" s="53"/>
      <c r="X86" s="53"/>
      <c r="Y86" s="53"/>
      <c r="Z86" s="53"/>
      <c r="AA86" s="56"/>
      <c r="AB86" s="54"/>
      <c r="AC86" s="54"/>
      <c r="AD86" s="54"/>
      <c r="AE86" s="54"/>
    </row>
    <row r="87" s="130" customFormat="1" ht="11.25" customHeight="1">
      <c r="A87" s="684"/>
      <c r="B87" s="57"/>
      <c r="C87" s="57"/>
      <c r="D87" s="130"/>
      <c r="K87" s="53"/>
      <c r="L87" s="57"/>
      <c r="M87" s="57"/>
      <c r="N87" s="53"/>
      <c r="O87" s="53"/>
      <c r="P87" s="53"/>
      <c r="Q87" s="53"/>
      <c r="R87" s="57"/>
      <c r="S87" s="53"/>
      <c r="T87" s="53"/>
      <c r="U87" s="685"/>
      <c r="V87" s="53"/>
      <c r="W87" s="53"/>
      <c r="X87" s="53"/>
      <c r="Y87" s="53"/>
      <c r="Z87" s="53"/>
      <c r="AA87" s="56"/>
      <c r="AB87" s="54"/>
      <c r="AC87" s="54"/>
      <c r="AD87" s="54"/>
      <c r="AE87" s="54"/>
    </row>
    <row r="88" s="130" customFormat="1" ht="11.25" customHeight="1">
      <c r="A88" s="684"/>
      <c r="B88" s="57"/>
      <c r="C88" s="57"/>
      <c r="D88" s="130"/>
      <c r="K88" s="53"/>
      <c r="L88" s="57"/>
      <c r="M88" s="57"/>
      <c r="N88" s="53"/>
      <c r="O88" s="53"/>
      <c r="P88" s="53"/>
      <c r="Q88" s="53"/>
      <c r="R88" s="57"/>
      <c r="S88" s="53"/>
      <c r="T88" s="53"/>
      <c r="U88" s="685"/>
      <c r="V88" s="53"/>
      <c r="W88" s="53"/>
      <c r="X88" s="53"/>
      <c r="Y88" s="53"/>
      <c r="Z88" s="53"/>
      <c r="AA88" s="56"/>
      <c r="AB88" s="54"/>
      <c r="AC88" s="54"/>
      <c r="AD88" s="54"/>
      <c r="AE88" s="54"/>
    </row>
    <row r="89" s="130" customFormat="1" ht="11.25" customHeight="1">
      <c r="A89" s="684"/>
      <c r="B89" s="57"/>
      <c r="C89" s="57"/>
      <c r="D89" s="130"/>
      <c r="K89" s="53"/>
      <c r="L89" s="57"/>
      <c r="M89" s="57"/>
      <c r="N89" s="53"/>
      <c r="O89" s="53"/>
      <c r="P89" s="53"/>
      <c r="Q89" s="53"/>
      <c r="R89" s="57"/>
      <c r="S89" s="53"/>
      <c r="T89" s="53"/>
      <c r="U89" s="685"/>
      <c r="V89" s="53"/>
      <c r="W89" s="53"/>
      <c r="X89" s="53"/>
      <c r="Y89" s="53"/>
      <c r="Z89" s="53"/>
      <c r="AA89" s="56"/>
      <c r="AB89" s="54"/>
      <c r="AC89" s="54"/>
      <c r="AD89" s="54"/>
      <c r="AE89" s="54"/>
    </row>
    <row r="90" s="130" customFormat="1" ht="11.25" customHeight="1">
      <c r="A90" s="684"/>
      <c r="B90" s="57"/>
      <c r="C90" s="57"/>
      <c r="D90" s="130"/>
      <c r="K90" s="53"/>
      <c r="L90" s="57"/>
      <c r="M90" s="57"/>
      <c r="N90" s="53"/>
      <c r="O90" s="53"/>
      <c r="P90" s="53"/>
      <c r="Q90" s="53"/>
      <c r="R90" s="57"/>
      <c r="S90" s="53"/>
      <c r="T90" s="53"/>
      <c r="U90" s="685"/>
      <c r="V90" s="53"/>
      <c r="W90" s="53"/>
      <c r="X90" s="53"/>
      <c r="Y90" s="53"/>
      <c r="Z90" s="53"/>
      <c r="AA90" s="56"/>
      <c r="AB90" s="54"/>
      <c r="AC90" s="54"/>
      <c r="AD90" s="54"/>
      <c r="AE90" s="54"/>
    </row>
    <row r="91" s="130" customFormat="1" ht="11.25" customHeight="1">
      <c r="A91" s="684"/>
      <c r="B91" s="57"/>
      <c r="C91" s="57"/>
      <c r="D91" s="130"/>
      <c r="K91" s="53"/>
      <c r="L91" s="57"/>
      <c r="M91" s="57"/>
      <c r="N91" s="53"/>
      <c r="O91" s="53"/>
      <c r="P91" s="53"/>
      <c r="Q91" s="53"/>
      <c r="R91" s="57"/>
      <c r="S91" s="53"/>
      <c r="T91" s="53"/>
      <c r="U91" s="685"/>
      <c r="V91" s="53"/>
      <c r="W91" s="53"/>
      <c r="X91" s="53"/>
      <c r="Y91" s="53"/>
      <c r="Z91" s="53"/>
      <c r="AA91" s="56"/>
      <c r="AB91" s="54"/>
      <c r="AC91" s="54"/>
      <c r="AD91" s="54"/>
      <c r="AE91" s="54"/>
    </row>
    <row r="92" s="130" customFormat="1" ht="11.25" customHeight="1">
      <c r="A92" s="684"/>
      <c r="B92" s="57"/>
      <c r="C92" s="57"/>
      <c r="D92" s="130"/>
      <c r="K92" s="53"/>
      <c r="L92" s="57"/>
      <c r="M92" s="57"/>
      <c r="N92" s="53"/>
      <c r="O92" s="53"/>
      <c r="P92" s="53"/>
      <c r="Q92" s="53"/>
      <c r="R92" s="57"/>
      <c r="S92" s="53"/>
      <c r="T92" s="53"/>
      <c r="U92" s="685"/>
      <c r="V92" s="53"/>
      <c r="W92" s="53"/>
      <c r="X92" s="53"/>
      <c r="Y92" s="53"/>
      <c r="Z92" s="53"/>
      <c r="AA92" s="56"/>
      <c r="AB92" s="54"/>
      <c r="AC92" s="54"/>
      <c r="AD92" s="54"/>
      <c r="AE92" s="54"/>
    </row>
    <row r="93" s="130" customFormat="1" ht="11.25" customHeight="1">
      <c r="A93" s="684"/>
      <c r="B93" s="57"/>
      <c r="C93" s="57"/>
      <c r="D93" s="130"/>
      <c r="K93" s="53"/>
      <c r="L93" s="57"/>
      <c r="M93" s="57"/>
      <c r="N93" s="53"/>
      <c r="O93" s="53"/>
      <c r="P93" s="53"/>
      <c r="Q93" s="53"/>
      <c r="R93" s="57"/>
      <c r="S93" s="53"/>
      <c r="T93" s="53"/>
      <c r="U93" s="685"/>
      <c r="V93" s="53"/>
      <c r="W93" s="53"/>
      <c r="X93" s="53"/>
      <c r="Y93" s="53"/>
      <c r="Z93" s="53"/>
      <c r="AA93" s="56"/>
      <c r="AB93" s="54"/>
      <c r="AC93" s="54"/>
      <c r="AD93" s="54"/>
      <c r="AE93" s="54"/>
    </row>
    <row r="94" s="130" customFormat="1" ht="11.25" customHeight="1">
      <c r="A94" s="684"/>
      <c r="B94" s="57"/>
      <c r="C94" s="57"/>
      <c r="D94" s="130"/>
      <c r="K94" s="53"/>
      <c r="L94" s="57"/>
      <c r="M94" s="57"/>
      <c r="N94" s="53"/>
      <c r="O94" s="53"/>
      <c r="P94" s="53"/>
      <c r="Q94" s="53"/>
      <c r="R94" s="57"/>
      <c r="S94" s="53"/>
      <c r="T94" s="53"/>
      <c r="U94" s="685"/>
      <c r="V94" s="53"/>
      <c r="W94" s="53"/>
      <c r="X94" s="53"/>
      <c r="Y94" s="53"/>
      <c r="Z94" s="53"/>
      <c r="AA94" s="56"/>
      <c r="AB94" s="54"/>
      <c r="AC94" s="54"/>
      <c r="AD94" s="54"/>
      <c r="AE94" s="54"/>
    </row>
    <row r="95" s="130" customFormat="1" ht="11.25" customHeight="1">
      <c r="A95" s="684"/>
      <c r="B95" s="57"/>
      <c r="C95" s="57"/>
      <c r="D95" s="130"/>
      <c r="K95" s="53"/>
      <c r="L95" s="57"/>
      <c r="M95" s="57"/>
      <c r="N95" s="53"/>
      <c r="O95" s="53"/>
      <c r="P95" s="53"/>
      <c r="Q95" s="53"/>
      <c r="R95" s="57"/>
      <c r="S95" s="53"/>
      <c r="T95" s="53"/>
      <c r="U95" s="685"/>
      <c r="V95" s="53"/>
      <c r="W95" s="53"/>
      <c r="X95" s="53"/>
      <c r="Y95" s="53"/>
      <c r="Z95" s="53"/>
      <c r="AA95" s="56"/>
      <c r="AB95" s="54"/>
      <c r="AC95" s="54"/>
      <c r="AD95" s="54"/>
      <c r="AE95" s="54"/>
    </row>
    <row r="96" s="130" customFormat="1" ht="11.25" customHeight="1">
      <c r="A96" s="684"/>
      <c r="B96" s="57"/>
      <c r="C96" s="57"/>
      <c r="D96" s="130"/>
      <c r="K96" s="53"/>
      <c r="L96" s="57"/>
      <c r="M96" s="57"/>
      <c r="N96" s="53"/>
      <c r="O96" s="53"/>
      <c r="P96" s="53"/>
      <c r="Q96" s="53"/>
      <c r="R96" s="57"/>
      <c r="S96" s="53"/>
      <c r="T96" s="53"/>
      <c r="U96" s="685"/>
      <c r="V96" s="53"/>
      <c r="W96" s="53"/>
      <c r="X96" s="53"/>
      <c r="Y96" s="53"/>
      <c r="Z96" s="53"/>
      <c r="AA96" s="56"/>
      <c r="AB96" s="54"/>
      <c r="AC96" s="54"/>
      <c r="AD96" s="54"/>
      <c r="AE96" s="54"/>
    </row>
    <row r="97" s="130" customFormat="1" ht="11.25" customHeight="1">
      <c r="A97" s="684"/>
      <c r="B97" s="57"/>
      <c r="C97" s="57"/>
      <c r="D97" s="130"/>
      <c r="K97" s="53"/>
      <c r="L97" s="57"/>
      <c r="M97" s="57"/>
      <c r="N97" s="53"/>
      <c r="O97" s="53"/>
      <c r="P97" s="53"/>
      <c r="Q97" s="53"/>
      <c r="R97" s="57"/>
      <c r="S97" s="53"/>
      <c r="T97" s="53"/>
      <c r="U97" s="685"/>
      <c r="V97" s="53"/>
      <c r="W97" s="53"/>
      <c r="X97" s="53"/>
      <c r="Y97" s="53"/>
      <c r="Z97" s="53"/>
      <c r="AA97" s="56"/>
      <c r="AB97" s="54"/>
      <c r="AC97" s="54"/>
      <c r="AD97" s="54"/>
      <c r="AE97" s="54"/>
    </row>
    <row r="98" s="130" customFormat="1" ht="11.25" customHeight="1">
      <c r="A98" s="684"/>
      <c r="B98" s="57"/>
      <c r="C98" s="57"/>
      <c r="D98" s="130"/>
      <c r="K98" s="53"/>
      <c r="L98" s="57"/>
      <c r="M98" s="57"/>
      <c r="N98" s="53"/>
      <c r="O98" s="53"/>
      <c r="P98" s="53"/>
      <c r="Q98" s="53"/>
      <c r="R98" s="57"/>
      <c r="S98" s="53"/>
      <c r="T98" s="53"/>
      <c r="U98" s="685"/>
      <c r="V98" s="53"/>
      <c r="W98" s="53"/>
      <c r="X98" s="53"/>
      <c r="Y98" s="53"/>
      <c r="Z98" s="53"/>
      <c r="AA98" s="56"/>
      <c r="AB98" s="54"/>
      <c r="AC98" s="54"/>
      <c r="AD98" s="54"/>
      <c r="AE98" s="54"/>
    </row>
    <row r="99" s="130" customFormat="1" ht="11.25" customHeight="1">
      <c r="A99" s="684"/>
      <c r="B99" s="57"/>
      <c r="C99" s="57"/>
      <c r="D99" s="130"/>
      <c r="K99" s="53"/>
      <c r="L99" s="57"/>
      <c r="M99" s="57"/>
      <c r="N99" s="53"/>
      <c r="O99" s="53"/>
      <c r="P99" s="53"/>
      <c r="Q99" s="53"/>
      <c r="R99" s="57"/>
      <c r="S99" s="53"/>
      <c r="T99" s="53"/>
      <c r="U99" s="685"/>
      <c r="V99" s="53"/>
      <c r="W99" s="53"/>
      <c r="X99" s="53"/>
      <c r="Y99" s="53"/>
      <c r="Z99" s="53"/>
      <c r="AA99" s="56"/>
      <c r="AB99" s="54"/>
      <c r="AC99" s="54"/>
      <c r="AD99" s="54"/>
      <c r="AE99" s="54"/>
    </row>
    <row r="100" s="130" customFormat="1" ht="11.25" customHeight="1">
      <c r="A100" s="684"/>
      <c r="B100" s="57"/>
      <c r="C100" s="57"/>
      <c r="D100" s="130"/>
      <c r="K100" s="53"/>
      <c r="L100" s="57"/>
      <c r="M100" s="57"/>
      <c r="N100" s="53"/>
      <c r="O100" s="53"/>
      <c r="P100" s="53"/>
      <c r="Q100" s="53"/>
      <c r="R100" s="57"/>
      <c r="S100" s="53"/>
      <c r="T100" s="53"/>
      <c r="U100" s="685"/>
      <c r="V100" s="53"/>
      <c r="W100" s="53"/>
      <c r="X100" s="53"/>
      <c r="Y100" s="53"/>
      <c r="Z100" s="53"/>
      <c r="AA100" s="56"/>
      <c r="AB100" s="54"/>
      <c r="AC100" s="54"/>
      <c r="AD100" s="54"/>
      <c r="AE100" s="54"/>
    </row>
    <row r="101" s="130" customFormat="1" ht="11.25" customHeight="1">
      <c r="A101" s="684"/>
      <c r="B101" s="57"/>
      <c r="C101" s="57"/>
      <c r="D101" s="130"/>
      <c r="K101" s="53"/>
      <c r="L101" s="57"/>
      <c r="M101" s="57"/>
      <c r="N101" s="53"/>
      <c r="O101" s="53"/>
      <c r="P101" s="53"/>
      <c r="Q101" s="53"/>
      <c r="R101" s="57"/>
      <c r="S101" s="53"/>
      <c r="T101" s="53"/>
      <c r="U101" s="685"/>
      <c r="V101" s="53"/>
      <c r="W101" s="53"/>
      <c r="X101" s="53"/>
      <c r="Y101" s="53"/>
      <c r="Z101" s="53"/>
      <c r="AA101" s="56"/>
      <c r="AB101" s="54"/>
      <c r="AC101" s="54"/>
      <c r="AD101" s="54"/>
      <c r="AE101" s="54"/>
    </row>
    <row r="102" s="130" customFormat="1" ht="11.25" customHeight="1">
      <c r="A102" s="684"/>
      <c r="B102" s="57"/>
      <c r="C102" s="57"/>
      <c r="D102" s="130"/>
      <c r="K102" s="53"/>
      <c r="L102" s="57"/>
      <c r="M102" s="57"/>
      <c r="N102" s="53"/>
      <c r="O102" s="53"/>
      <c r="P102" s="53"/>
      <c r="Q102" s="53"/>
      <c r="R102" s="57"/>
      <c r="S102" s="53"/>
      <c r="T102" s="53"/>
      <c r="U102" s="685"/>
      <c r="V102" s="53"/>
      <c r="W102" s="53"/>
      <c r="X102" s="53"/>
      <c r="Y102" s="53"/>
      <c r="Z102" s="53"/>
      <c r="AA102" s="56"/>
      <c r="AB102" s="54"/>
      <c r="AC102" s="54"/>
      <c r="AD102" s="54"/>
      <c r="AE102" s="54"/>
    </row>
    <row r="103" s="130" customFormat="1" ht="11.25" customHeight="1">
      <c r="A103" s="684"/>
      <c r="B103" s="57"/>
      <c r="C103" s="57"/>
      <c r="D103" s="130"/>
      <c r="K103" s="53"/>
      <c r="L103" s="57"/>
      <c r="M103" s="57"/>
      <c r="N103" s="53"/>
      <c r="O103" s="53"/>
      <c r="P103" s="53"/>
      <c r="Q103" s="53"/>
      <c r="R103" s="57"/>
      <c r="S103" s="53"/>
      <c r="T103" s="53"/>
      <c r="U103" s="685"/>
      <c r="V103" s="53"/>
      <c r="W103" s="53"/>
      <c r="X103" s="53"/>
      <c r="Y103" s="53"/>
      <c r="Z103" s="53"/>
      <c r="AA103" s="56"/>
      <c r="AB103" s="54"/>
      <c r="AC103" s="54"/>
      <c r="AD103" s="54"/>
      <c r="AE103" s="54"/>
    </row>
    <row r="104" s="130" customFormat="1" ht="11.25" customHeight="1">
      <c r="A104" s="684"/>
      <c r="B104" s="57"/>
      <c r="C104" s="57"/>
      <c r="D104" s="130"/>
      <c r="K104" s="53"/>
      <c r="L104" s="57"/>
      <c r="M104" s="57"/>
      <c r="N104" s="53"/>
      <c r="O104" s="53"/>
      <c r="P104" s="53"/>
      <c r="Q104" s="53"/>
      <c r="R104" s="57"/>
      <c r="S104" s="53"/>
      <c r="T104" s="53"/>
      <c r="U104" s="685"/>
      <c r="V104" s="53"/>
      <c r="W104" s="53"/>
      <c r="X104" s="53"/>
      <c r="Y104" s="53"/>
      <c r="Z104" s="53"/>
      <c r="AA104" s="56"/>
      <c r="AB104" s="54"/>
      <c r="AC104" s="54"/>
      <c r="AD104" s="54"/>
      <c r="AE104" s="54"/>
    </row>
    <row r="105" s="130" customFormat="1" ht="11.25" customHeight="1">
      <c r="A105" s="684"/>
      <c r="B105" s="57"/>
      <c r="C105" s="57"/>
      <c r="D105" s="130"/>
      <c r="K105" s="53"/>
      <c r="L105" s="57"/>
      <c r="M105" s="57"/>
      <c r="N105" s="53"/>
      <c r="O105" s="53"/>
      <c r="P105" s="53"/>
      <c r="Q105" s="53"/>
      <c r="R105" s="57"/>
      <c r="S105" s="53"/>
      <c r="T105" s="53"/>
      <c r="U105" s="685"/>
      <c r="V105" s="53"/>
      <c r="W105" s="53"/>
      <c r="X105" s="53"/>
      <c r="Y105" s="53"/>
      <c r="Z105" s="53"/>
      <c r="AA105" s="56"/>
      <c r="AB105" s="54"/>
      <c r="AC105" s="54"/>
      <c r="AD105" s="54"/>
      <c r="AE105" s="54"/>
    </row>
    <row r="106" s="130" customFormat="1" ht="11.25" customHeight="1">
      <c r="A106" s="684"/>
      <c r="B106" s="57"/>
      <c r="C106" s="57"/>
      <c r="D106" s="130"/>
      <c r="K106" s="53"/>
      <c r="L106" s="57"/>
      <c r="M106" s="57"/>
      <c r="N106" s="53"/>
      <c r="O106" s="53"/>
      <c r="P106" s="53"/>
      <c r="Q106" s="53"/>
      <c r="R106" s="57"/>
      <c r="S106" s="53"/>
      <c r="T106" s="53"/>
      <c r="U106" s="685"/>
      <c r="V106" s="53"/>
      <c r="W106" s="53"/>
      <c r="X106" s="53"/>
      <c r="Y106" s="53"/>
      <c r="Z106" s="53"/>
      <c r="AA106" s="56"/>
      <c r="AB106" s="54"/>
      <c r="AC106" s="54"/>
      <c r="AD106" s="54"/>
      <c r="AE106" s="54"/>
    </row>
    <row r="107" s="130" customFormat="1" ht="11.25" customHeight="1">
      <c r="A107" s="684"/>
      <c r="B107" s="57"/>
      <c r="C107" s="57"/>
      <c r="D107" s="130"/>
      <c r="K107" s="53"/>
      <c r="L107" s="57"/>
      <c r="M107" s="57"/>
      <c r="N107" s="53"/>
      <c r="O107" s="53"/>
      <c r="P107" s="53"/>
      <c r="Q107" s="53"/>
      <c r="R107" s="57"/>
      <c r="S107" s="53"/>
      <c r="T107" s="53"/>
      <c r="U107" s="685"/>
      <c r="V107" s="53"/>
      <c r="W107" s="53"/>
      <c r="X107" s="53"/>
      <c r="Y107" s="53"/>
      <c r="Z107" s="53"/>
      <c r="AA107" s="56"/>
      <c r="AB107" s="54"/>
      <c r="AC107" s="54"/>
      <c r="AD107" s="54"/>
      <c r="AE107" s="54"/>
    </row>
    <row r="108" s="130" customFormat="1" ht="11.25" customHeight="1">
      <c r="A108" s="684"/>
      <c r="B108" s="57"/>
      <c r="C108" s="57"/>
      <c r="D108" s="130"/>
      <c r="K108" s="53"/>
      <c r="L108" s="57"/>
      <c r="M108" s="57"/>
      <c r="N108" s="53"/>
      <c r="O108" s="53"/>
      <c r="P108" s="53"/>
      <c r="Q108" s="53"/>
      <c r="R108" s="57"/>
      <c r="S108" s="53"/>
      <c r="T108" s="53"/>
      <c r="U108" s="685"/>
      <c r="V108" s="53"/>
      <c r="W108" s="53"/>
      <c r="X108" s="53"/>
      <c r="Y108" s="53"/>
      <c r="Z108" s="53"/>
      <c r="AA108" s="56"/>
      <c r="AB108" s="54"/>
      <c r="AC108" s="54"/>
      <c r="AD108" s="54"/>
      <c r="AE108" s="54"/>
    </row>
    <row r="109" s="130" customFormat="1" ht="11.25" customHeight="1">
      <c r="A109" s="684"/>
      <c r="B109" s="57"/>
      <c r="C109" s="57"/>
      <c r="D109" s="130"/>
      <c r="K109" s="53"/>
      <c r="L109" s="57"/>
      <c r="M109" s="57"/>
      <c r="N109" s="53"/>
      <c r="O109" s="53"/>
      <c r="P109" s="53"/>
      <c r="Q109" s="53"/>
      <c r="R109" s="57"/>
      <c r="S109" s="53"/>
      <c r="T109" s="53"/>
      <c r="U109" s="685"/>
      <c r="V109" s="53"/>
      <c r="W109" s="53"/>
      <c r="X109" s="53"/>
      <c r="Y109" s="53"/>
      <c r="Z109" s="53"/>
      <c r="AA109" s="56"/>
      <c r="AB109" s="54"/>
      <c r="AC109" s="54"/>
      <c r="AD109" s="54"/>
      <c r="AE109" s="54"/>
    </row>
    <row r="110" s="130" customFormat="1" ht="11.25" customHeight="1">
      <c r="A110" s="684"/>
      <c r="B110" s="57"/>
      <c r="C110" s="57"/>
      <c r="D110" s="130"/>
      <c r="K110" s="53"/>
      <c r="L110" s="57"/>
      <c r="M110" s="57"/>
      <c r="N110" s="53"/>
      <c r="O110" s="53"/>
      <c r="P110" s="53"/>
      <c r="Q110" s="53"/>
      <c r="R110" s="57"/>
      <c r="S110" s="53"/>
      <c r="T110" s="53"/>
      <c r="U110" s="685"/>
      <c r="V110" s="53"/>
      <c r="W110" s="53"/>
      <c r="X110" s="53"/>
      <c r="Y110" s="53"/>
      <c r="Z110" s="53"/>
      <c r="AA110" s="56"/>
      <c r="AB110" s="54"/>
      <c r="AC110" s="54"/>
      <c r="AD110" s="54"/>
      <c r="AE110" s="54"/>
    </row>
    <row r="111" s="130" customFormat="1" ht="11.25" customHeight="1">
      <c r="A111" s="684"/>
      <c r="B111" s="57"/>
      <c r="C111" s="57"/>
      <c r="D111" s="130"/>
      <c r="K111" s="53"/>
      <c r="L111" s="57"/>
      <c r="M111" s="57"/>
      <c r="N111" s="53"/>
      <c r="O111" s="53"/>
      <c r="P111" s="53"/>
      <c r="Q111" s="53"/>
      <c r="R111" s="57"/>
      <c r="S111" s="53"/>
      <c r="T111" s="53"/>
      <c r="U111" s="685"/>
      <c r="V111" s="53"/>
      <c r="W111" s="53"/>
      <c r="X111" s="53"/>
      <c r="Y111" s="53"/>
      <c r="Z111" s="53"/>
      <c r="AA111" s="56"/>
      <c r="AB111" s="54"/>
      <c r="AC111" s="54"/>
      <c r="AD111" s="54"/>
      <c r="AE111" s="54"/>
    </row>
    <row r="112" s="130" customFormat="1" ht="11.25" customHeight="1">
      <c r="A112" s="684"/>
      <c r="B112" s="57"/>
      <c r="C112" s="57"/>
      <c r="D112" s="130"/>
      <c r="K112" s="53"/>
      <c r="L112" s="57"/>
      <c r="M112" s="57"/>
      <c r="N112" s="53"/>
      <c r="O112" s="53"/>
      <c r="P112" s="53"/>
      <c r="Q112" s="53"/>
      <c r="R112" s="57"/>
      <c r="S112" s="53"/>
      <c r="T112" s="53"/>
      <c r="U112" s="685"/>
      <c r="V112" s="53"/>
      <c r="W112" s="53"/>
      <c r="X112" s="53"/>
      <c r="Y112" s="53"/>
      <c r="Z112" s="53"/>
      <c r="AA112" s="56"/>
      <c r="AB112" s="54"/>
      <c r="AC112" s="54"/>
      <c r="AD112" s="54"/>
      <c r="AE112" s="54"/>
    </row>
    <row r="113" s="130" customFormat="1" ht="11.25" customHeight="1">
      <c r="A113" s="684"/>
      <c r="B113" s="57"/>
      <c r="C113" s="57"/>
      <c r="D113" s="130"/>
      <c r="K113" s="53"/>
      <c r="L113" s="57"/>
      <c r="M113" s="57"/>
      <c r="N113" s="53"/>
      <c r="O113" s="53"/>
      <c r="P113" s="53"/>
      <c r="Q113" s="53"/>
      <c r="R113" s="57"/>
      <c r="S113" s="53"/>
      <c r="T113" s="53"/>
      <c r="U113" s="685"/>
      <c r="V113" s="53"/>
      <c r="W113" s="53"/>
      <c r="X113" s="53"/>
      <c r="Y113" s="53"/>
      <c r="Z113" s="53"/>
      <c r="AA113" s="56"/>
      <c r="AB113" s="54"/>
      <c r="AC113" s="54"/>
      <c r="AD113" s="54"/>
      <c r="AE113" s="54"/>
    </row>
    <row r="114" s="130" customFormat="1" ht="11.25" customHeight="1">
      <c r="A114" s="684"/>
      <c r="B114" s="57"/>
      <c r="C114" s="57"/>
      <c r="D114" s="130"/>
      <c r="K114" s="53"/>
      <c r="L114" s="57"/>
      <c r="M114" s="57"/>
      <c r="N114" s="53"/>
      <c r="O114" s="53"/>
      <c r="P114" s="53"/>
      <c r="Q114" s="53"/>
      <c r="R114" s="57"/>
      <c r="S114" s="53"/>
      <c r="T114" s="53"/>
      <c r="U114" s="685"/>
      <c r="V114" s="53"/>
      <c r="W114" s="53"/>
      <c r="X114" s="53"/>
      <c r="Y114" s="53"/>
      <c r="Z114" s="53"/>
      <c r="AA114" s="56"/>
      <c r="AB114" s="54"/>
      <c r="AC114" s="54"/>
      <c r="AD114" s="54"/>
      <c r="AE114" s="54"/>
    </row>
    <row r="115" s="130" customFormat="1" ht="11.25" customHeight="1">
      <c r="A115" s="684"/>
      <c r="B115" s="57"/>
      <c r="C115" s="57"/>
      <c r="D115" s="130"/>
      <c r="K115" s="53"/>
      <c r="L115" s="57"/>
      <c r="M115" s="57"/>
      <c r="N115" s="53"/>
      <c r="O115" s="53"/>
      <c r="P115" s="53"/>
      <c r="Q115" s="53"/>
      <c r="R115" s="57"/>
      <c r="S115" s="53"/>
      <c r="T115" s="53"/>
      <c r="U115" s="685"/>
      <c r="V115" s="53"/>
      <c r="W115" s="53"/>
      <c r="X115" s="53"/>
      <c r="Y115" s="53"/>
      <c r="Z115" s="53"/>
      <c r="AA115" s="56"/>
      <c r="AB115" s="54"/>
      <c r="AC115" s="54"/>
      <c r="AD115" s="54"/>
      <c r="AE115" s="54"/>
    </row>
    <row r="116" s="130" customFormat="1" ht="11.25" customHeight="1">
      <c r="A116" s="684"/>
      <c r="B116" s="57"/>
      <c r="C116" s="57"/>
      <c r="D116" s="130"/>
      <c r="K116" s="53"/>
      <c r="L116" s="57"/>
      <c r="M116" s="57"/>
      <c r="N116" s="53"/>
      <c r="O116" s="53"/>
      <c r="P116" s="53"/>
      <c r="Q116" s="53"/>
      <c r="R116" s="57"/>
      <c r="S116" s="53"/>
      <c r="T116" s="53"/>
      <c r="U116" s="685"/>
      <c r="V116" s="53"/>
      <c r="W116" s="53"/>
      <c r="X116" s="53"/>
      <c r="Y116" s="53"/>
      <c r="Z116" s="53"/>
      <c r="AA116" s="56"/>
      <c r="AB116" s="54"/>
      <c r="AC116" s="54"/>
      <c r="AD116" s="54"/>
      <c r="AE116" s="54"/>
    </row>
    <row r="117" s="130" customFormat="1" ht="11.25" customHeight="1">
      <c r="A117" s="684"/>
      <c r="B117" s="57"/>
      <c r="C117" s="57"/>
      <c r="D117" s="130"/>
      <c r="K117" s="53"/>
      <c r="L117" s="57"/>
      <c r="M117" s="57"/>
      <c r="N117" s="53"/>
      <c r="O117" s="53"/>
      <c r="P117" s="53"/>
      <c r="Q117" s="53"/>
      <c r="R117" s="57"/>
      <c r="S117" s="53"/>
      <c r="T117" s="53"/>
      <c r="U117" s="685"/>
      <c r="V117" s="53"/>
      <c r="W117" s="53"/>
      <c r="X117" s="53"/>
      <c r="Y117" s="53"/>
      <c r="Z117" s="53"/>
      <c r="AA117" s="56"/>
      <c r="AB117" s="54"/>
      <c r="AC117" s="54"/>
      <c r="AD117" s="54"/>
      <c r="AE117" s="54"/>
    </row>
    <row r="118" s="130" customFormat="1" ht="11.25" customHeight="1">
      <c r="A118" s="684"/>
      <c r="B118" s="57"/>
      <c r="C118" s="57"/>
      <c r="D118" s="130"/>
      <c r="K118" s="53"/>
      <c r="L118" s="57"/>
      <c r="M118" s="57"/>
      <c r="N118" s="53"/>
      <c r="O118" s="53"/>
      <c r="P118" s="53"/>
      <c r="Q118" s="53"/>
      <c r="R118" s="57"/>
      <c r="S118" s="53"/>
      <c r="T118" s="53"/>
      <c r="U118" s="685"/>
      <c r="V118" s="53"/>
      <c r="W118" s="53"/>
      <c r="X118" s="53"/>
      <c r="Y118" s="53"/>
      <c r="Z118" s="53"/>
      <c r="AA118" s="56"/>
      <c r="AB118" s="54"/>
      <c r="AC118" s="54"/>
      <c r="AD118" s="54"/>
      <c r="AE118" s="54"/>
    </row>
    <row r="119" s="130" customFormat="1" ht="11.25" customHeight="1">
      <c r="A119" s="684"/>
      <c r="B119" s="57"/>
      <c r="C119" s="57"/>
      <c r="D119" s="130"/>
      <c r="K119" s="53"/>
      <c r="L119" s="57"/>
      <c r="M119" s="57"/>
      <c r="N119" s="53"/>
      <c r="O119" s="53"/>
      <c r="P119" s="53"/>
      <c r="Q119" s="53"/>
      <c r="R119" s="57"/>
      <c r="S119" s="53"/>
      <c r="T119" s="53"/>
      <c r="U119" s="685"/>
      <c r="V119" s="53"/>
      <c r="W119" s="53"/>
      <c r="X119" s="53"/>
      <c r="Y119" s="53"/>
      <c r="Z119" s="53"/>
      <c r="AA119" s="56"/>
      <c r="AB119" s="54"/>
      <c r="AC119" s="54"/>
      <c r="AD119" s="54"/>
      <c r="AE119" s="54"/>
    </row>
    <row r="120" s="130" customFormat="1" ht="11.25" customHeight="1">
      <c r="A120" s="684"/>
      <c r="B120" s="57"/>
      <c r="C120" s="57"/>
      <c r="D120" s="130"/>
      <c r="K120" s="53"/>
      <c r="L120" s="57"/>
      <c r="M120" s="57"/>
      <c r="N120" s="53"/>
      <c r="O120" s="53"/>
      <c r="P120" s="53"/>
      <c r="Q120" s="53"/>
      <c r="R120" s="57"/>
      <c r="S120" s="53"/>
      <c r="T120" s="53"/>
      <c r="U120" s="685"/>
      <c r="V120" s="53"/>
      <c r="W120" s="53"/>
      <c r="X120" s="53"/>
      <c r="Y120" s="53"/>
      <c r="Z120" s="53"/>
      <c r="AA120" s="56"/>
      <c r="AB120" s="54"/>
      <c r="AC120" s="54"/>
      <c r="AD120" s="54"/>
      <c r="AE120" s="54"/>
    </row>
    <row r="121" s="130" customFormat="1" ht="11.25" customHeight="1">
      <c r="A121" s="684"/>
      <c r="B121" s="57"/>
      <c r="C121" s="57"/>
      <c r="D121" s="130"/>
      <c r="K121" s="53"/>
      <c r="L121" s="57"/>
      <c r="M121" s="57"/>
      <c r="N121" s="53"/>
      <c r="O121" s="53"/>
      <c r="P121" s="53"/>
      <c r="Q121" s="53"/>
      <c r="R121" s="57"/>
      <c r="S121" s="53"/>
      <c r="T121" s="53"/>
      <c r="U121" s="685"/>
      <c r="V121" s="53"/>
      <c r="W121" s="53"/>
      <c r="X121" s="53"/>
      <c r="Y121" s="53"/>
      <c r="Z121" s="53"/>
      <c r="AA121" s="56"/>
      <c r="AB121" s="54"/>
      <c r="AC121" s="54"/>
      <c r="AD121" s="54"/>
      <c r="AE121" s="54"/>
    </row>
    <row r="122" s="130" customFormat="1" ht="11.25" customHeight="1">
      <c r="A122" s="684"/>
      <c r="B122" s="57"/>
      <c r="C122" s="57"/>
      <c r="D122" s="130"/>
      <c r="K122" s="53"/>
      <c r="L122" s="57"/>
      <c r="M122" s="57"/>
      <c r="N122" s="53"/>
      <c r="O122" s="53"/>
      <c r="P122" s="53"/>
      <c r="Q122" s="53"/>
      <c r="R122" s="57"/>
      <c r="S122" s="53"/>
      <c r="T122" s="53"/>
      <c r="U122" s="685"/>
      <c r="V122" s="53"/>
      <c r="W122" s="53"/>
      <c r="X122" s="53"/>
      <c r="Y122" s="53"/>
      <c r="Z122" s="53"/>
      <c r="AA122" s="56"/>
      <c r="AB122" s="54"/>
      <c r="AC122" s="54"/>
      <c r="AD122" s="54"/>
      <c r="AE122" s="54"/>
    </row>
    <row r="123" s="130" customFormat="1" ht="11.25" customHeight="1">
      <c r="A123" s="684"/>
      <c r="B123" s="57"/>
      <c r="C123" s="57"/>
      <c r="D123" s="130"/>
      <c r="K123" s="53"/>
      <c r="L123" s="57"/>
      <c r="M123" s="57"/>
      <c r="N123" s="53"/>
      <c r="O123" s="53"/>
      <c r="P123" s="53"/>
      <c r="Q123" s="53"/>
      <c r="R123" s="57"/>
      <c r="S123" s="53"/>
      <c r="T123" s="53"/>
      <c r="U123" s="685"/>
      <c r="V123" s="53"/>
      <c r="W123" s="53"/>
      <c r="X123" s="53"/>
      <c r="Y123" s="53"/>
      <c r="Z123" s="53"/>
      <c r="AA123" s="56"/>
      <c r="AB123" s="54"/>
      <c r="AC123" s="54"/>
      <c r="AD123" s="54"/>
      <c r="AE123" s="54"/>
    </row>
    <row r="124" s="130" customFormat="1" ht="11.25" customHeight="1">
      <c r="A124" s="684"/>
      <c r="B124" s="57"/>
      <c r="C124" s="57"/>
      <c r="D124" s="130"/>
      <c r="K124" s="53"/>
      <c r="L124" s="57"/>
      <c r="M124" s="57"/>
      <c r="N124" s="53"/>
      <c r="O124" s="53"/>
      <c r="P124" s="53"/>
      <c r="Q124" s="53"/>
      <c r="R124" s="57"/>
      <c r="S124" s="53"/>
      <c r="T124" s="53"/>
      <c r="U124" s="685"/>
      <c r="V124" s="53"/>
      <c r="W124" s="53"/>
      <c r="X124" s="53"/>
      <c r="Y124" s="53"/>
      <c r="Z124" s="53"/>
      <c r="AA124" s="56"/>
      <c r="AB124" s="54"/>
      <c r="AC124" s="54"/>
      <c r="AD124" s="54"/>
      <c r="AE124" s="54"/>
    </row>
    <row r="125" s="130" customFormat="1" ht="11.25" customHeight="1">
      <c r="A125" s="684"/>
      <c r="B125" s="57"/>
      <c r="C125" s="57"/>
      <c r="D125" s="130"/>
      <c r="K125" s="53"/>
      <c r="L125" s="57"/>
      <c r="M125" s="57"/>
      <c r="N125" s="53"/>
      <c r="O125" s="53"/>
      <c r="P125" s="53"/>
      <c r="Q125" s="53"/>
      <c r="R125" s="57"/>
      <c r="S125" s="53"/>
      <c r="T125" s="53"/>
      <c r="U125" s="685"/>
      <c r="V125" s="53"/>
      <c r="W125" s="53"/>
      <c r="X125" s="53"/>
      <c r="Y125" s="53"/>
      <c r="Z125" s="53"/>
      <c r="AA125" s="56"/>
      <c r="AB125" s="54"/>
      <c r="AC125" s="54"/>
      <c r="AD125" s="54"/>
      <c r="AE125" s="54"/>
    </row>
    <row r="126" s="130" customFormat="1" ht="11.25" customHeight="1">
      <c r="A126" s="684"/>
      <c r="B126" s="57"/>
      <c r="C126" s="57"/>
      <c r="D126" s="130"/>
      <c r="K126" s="53"/>
      <c r="L126" s="57"/>
      <c r="M126" s="57"/>
      <c r="N126" s="53"/>
      <c r="O126" s="53"/>
      <c r="P126" s="53"/>
      <c r="Q126" s="53"/>
      <c r="R126" s="57"/>
      <c r="S126" s="53"/>
      <c r="T126" s="53"/>
      <c r="U126" s="685"/>
      <c r="V126" s="53"/>
      <c r="W126" s="53"/>
      <c r="X126" s="53"/>
      <c r="Y126" s="53"/>
      <c r="Z126" s="53"/>
      <c r="AA126" s="56"/>
      <c r="AB126" s="54"/>
      <c r="AC126" s="54"/>
      <c r="AD126" s="54"/>
      <c r="AE126" s="54"/>
    </row>
    <row r="127" s="130" customFormat="1" ht="11.25" customHeight="1">
      <c r="A127" s="684"/>
      <c r="B127" s="57"/>
      <c r="C127" s="57"/>
      <c r="D127" s="130"/>
      <c r="K127" s="53"/>
      <c r="L127" s="57"/>
      <c r="M127" s="57"/>
      <c r="N127" s="53"/>
      <c r="O127" s="53"/>
      <c r="P127" s="53"/>
      <c r="Q127" s="53"/>
      <c r="R127" s="57"/>
      <c r="S127" s="53"/>
      <c r="T127" s="53"/>
      <c r="U127" s="685"/>
      <c r="V127" s="53"/>
      <c r="W127" s="53"/>
      <c r="X127" s="53"/>
      <c r="Y127" s="53"/>
      <c r="Z127" s="53"/>
      <c r="AA127" s="56"/>
      <c r="AB127" s="54"/>
      <c r="AC127" s="54"/>
      <c r="AD127" s="54"/>
      <c r="AE127" s="54"/>
    </row>
    <row r="128" s="130" customFormat="1" ht="11.25" customHeight="1">
      <c r="A128" s="684"/>
      <c r="B128" s="57"/>
      <c r="C128" s="57"/>
      <c r="D128" s="130"/>
      <c r="K128" s="53"/>
      <c r="L128" s="57"/>
      <c r="M128" s="57"/>
      <c r="N128" s="53"/>
      <c r="O128" s="53"/>
      <c r="P128" s="53"/>
      <c r="Q128" s="53"/>
      <c r="R128" s="57"/>
      <c r="S128" s="53"/>
      <c r="T128" s="53"/>
      <c r="U128" s="685"/>
      <c r="V128" s="53"/>
      <c r="W128" s="53"/>
      <c r="X128" s="53"/>
      <c r="Y128" s="53"/>
      <c r="Z128" s="53"/>
      <c r="AA128" s="56"/>
      <c r="AB128" s="54"/>
      <c r="AC128" s="54"/>
      <c r="AD128" s="54"/>
      <c r="AE128" s="54"/>
    </row>
    <row r="129" s="130" customFormat="1" ht="11.25" customHeight="1">
      <c r="A129" s="684"/>
      <c r="B129" s="57"/>
      <c r="C129" s="57"/>
      <c r="D129" s="130"/>
      <c r="K129" s="53"/>
      <c r="L129" s="57"/>
      <c r="M129" s="57"/>
      <c r="N129" s="53"/>
      <c r="O129" s="53"/>
      <c r="P129" s="53"/>
      <c r="Q129" s="53"/>
      <c r="R129" s="57"/>
      <c r="S129" s="53"/>
      <c r="T129" s="53"/>
      <c r="U129" s="685"/>
      <c r="V129" s="53"/>
      <c r="W129" s="53"/>
      <c r="X129" s="53"/>
      <c r="Y129" s="53"/>
      <c r="Z129" s="53"/>
      <c r="AA129" s="56"/>
      <c r="AB129" s="54"/>
      <c r="AC129" s="54"/>
      <c r="AD129" s="54"/>
      <c r="AE129" s="54"/>
    </row>
    <row r="130" s="130" customFormat="1" ht="11.25" customHeight="1">
      <c r="A130" s="684"/>
      <c r="B130" s="57"/>
      <c r="C130" s="57"/>
      <c r="D130" s="130"/>
      <c r="K130" s="53"/>
      <c r="L130" s="57"/>
      <c r="M130" s="57"/>
      <c r="N130" s="53"/>
      <c r="O130" s="53"/>
      <c r="P130" s="53"/>
      <c r="Q130" s="53"/>
      <c r="R130" s="57"/>
      <c r="S130" s="53"/>
      <c r="T130" s="53"/>
      <c r="U130" s="685"/>
      <c r="V130" s="53"/>
      <c r="W130" s="53"/>
      <c r="X130" s="53"/>
      <c r="Y130" s="53"/>
      <c r="Z130" s="53"/>
      <c r="AA130" s="56"/>
      <c r="AB130" s="54"/>
      <c r="AC130" s="54"/>
      <c r="AD130" s="54"/>
      <c r="AE130" s="54"/>
    </row>
    <row r="131" s="130" customFormat="1" ht="11.25" customHeight="1">
      <c r="A131" s="684"/>
      <c r="B131" s="57"/>
      <c r="C131" s="57"/>
      <c r="D131" s="130"/>
      <c r="K131" s="53"/>
      <c r="L131" s="57"/>
      <c r="M131" s="57"/>
      <c r="N131" s="53"/>
      <c r="O131" s="53"/>
      <c r="P131" s="53"/>
      <c r="Q131" s="53"/>
      <c r="R131" s="57"/>
      <c r="S131" s="53"/>
      <c r="T131" s="53"/>
      <c r="U131" s="685"/>
      <c r="V131" s="53"/>
      <c r="W131" s="53"/>
      <c r="X131" s="53"/>
      <c r="Y131" s="53"/>
      <c r="Z131" s="53"/>
      <c r="AA131" s="56"/>
      <c r="AB131" s="54"/>
      <c r="AC131" s="54"/>
      <c r="AD131" s="54"/>
      <c r="AE131" s="54"/>
    </row>
    <row r="132" s="130" customFormat="1" ht="11.25" customHeight="1">
      <c r="A132" s="684"/>
      <c r="B132" s="57"/>
      <c r="C132" s="57"/>
      <c r="D132" s="130"/>
      <c r="K132" s="53"/>
      <c r="L132" s="57"/>
      <c r="M132" s="57"/>
      <c r="N132" s="53"/>
      <c r="O132" s="53"/>
      <c r="P132" s="53"/>
      <c r="Q132" s="53"/>
      <c r="R132" s="57"/>
      <c r="S132" s="53"/>
      <c r="T132" s="53"/>
      <c r="U132" s="685"/>
      <c r="V132" s="53"/>
      <c r="W132" s="53"/>
      <c r="X132" s="53"/>
      <c r="Y132" s="53"/>
      <c r="Z132" s="53"/>
      <c r="AA132" s="56"/>
      <c r="AB132" s="54"/>
      <c r="AC132" s="54"/>
      <c r="AD132" s="54"/>
      <c r="AE132" s="54"/>
    </row>
    <row r="133" s="130" customFormat="1" ht="11.25" customHeight="1">
      <c r="A133" s="684"/>
      <c r="B133" s="57"/>
      <c r="C133" s="57"/>
      <c r="D133" s="130"/>
      <c r="K133" s="53"/>
      <c r="L133" s="57"/>
      <c r="M133" s="57"/>
      <c r="N133" s="53"/>
      <c r="O133" s="53"/>
      <c r="P133" s="53"/>
      <c r="Q133" s="53"/>
      <c r="R133" s="57"/>
      <c r="S133" s="53"/>
      <c r="T133" s="53"/>
      <c r="U133" s="685"/>
      <c r="V133" s="53"/>
      <c r="W133" s="53"/>
      <c r="X133" s="53"/>
      <c r="Y133" s="53"/>
      <c r="Z133" s="53"/>
      <c r="AA133" s="56"/>
      <c r="AB133" s="54"/>
      <c r="AC133" s="54"/>
      <c r="AD133" s="54"/>
      <c r="AE133" s="54"/>
    </row>
    <row r="134" s="130" customFormat="1" ht="11.25" customHeight="1">
      <c r="A134" s="684"/>
      <c r="B134" s="57"/>
      <c r="C134" s="57"/>
      <c r="D134" s="130"/>
      <c r="K134" s="53"/>
      <c r="L134" s="57"/>
      <c r="M134" s="57"/>
      <c r="N134" s="53"/>
      <c r="O134" s="53"/>
      <c r="P134" s="53"/>
      <c r="Q134" s="53"/>
      <c r="R134" s="57"/>
      <c r="S134" s="53"/>
      <c r="T134" s="53"/>
      <c r="U134" s="685"/>
      <c r="V134" s="53"/>
      <c r="W134" s="53"/>
      <c r="X134" s="53"/>
      <c r="Y134" s="53"/>
      <c r="Z134" s="53"/>
      <c r="AA134" s="56"/>
      <c r="AB134" s="54"/>
      <c r="AC134" s="54"/>
      <c r="AD134" s="54"/>
      <c r="AE134" s="54"/>
    </row>
    <row r="135" s="130" customFormat="1" ht="11.25" customHeight="1">
      <c r="A135" s="684"/>
      <c r="B135" s="57"/>
      <c r="C135" s="57"/>
      <c r="D135" s="130"/>
      <c r="K135" s="53"/>
      <c r="L135" s="57"/>
      <c r="M135" s="57"/>
      <c r="N135" s="53"/>
      <c r="O135" s="53"/>
      <c r="P135" s="53"/>
      <c r="Q135" s="53"/>
      <c r="R135" s="57"/>
      <c r="S135" s="53"/>
      <c r="T135" s="53"/>
      <c r="U135" s="685"/>
      <c r="V135" s="53"/>
      <c r="W135" s="53"/>
      <c r="X135" s="53"/>
      <c r="Y135" s="53"/>
      <c r="Z135" s="53"/>
      <c r="AA135" s="56"/>
      <c r="AB135" s="54"/>
      <c r="AC135" s="54"/>
      <c r="AD135" s="54"/>
      <c r="AE135" s="54"/>
    </row>
    <row r="136" s="130" customFormat="1" ht="11.25" customHeight="1">
      <c r="A136" s="684"/>
      <c r="B136" s="57"/>
      <c r="C136" s="57"/>
      <c r="D136" s="130"/>
      <c r="K136" s="53"/>
      <c r="L136" s="57"/>
      <c r="M136" s="57"/>
      <c r="N136" s="53"/>
      <c r="O136" s="53"/>
      <c r="P136" s="53"/>
      <c r="Q136" s="53"/>
      <c r="R136" s="57"/>
      <c r="S136" s="53"/>
      <c r="T136" s="53"/>
      <c r="U136" s="685"/>
      <c r="V136" s="53"/>
      <c r="W136" s="53"/>
      <c r="X136" s="53"/>
      <c r="Y136" s="53"/>
      <c r="Z136" s="53"/>
      <c r="AA136" s="56"/>
      <c r="AB136" s="54"/>
      <c r="AC136" s="54"/>
      <c r="AD136" s="54"/>
      <c r="AE136" s="54"/>
    </row>
    <row r="137" s="130" customFormat="1" ht="11.25" customHeight="1">
      <c r="A137" s="684"/>
      <c r="B137" s="57"/>
      <c r="C137" s="57"/>
      <c r="D137" s="130"/>
      <c r="K137" s="53"/>
      <c r="L137" s="57"/>
      <c r="M137" s="57"/>
      <c r="N137" s="53"/>
      <c r="O137" s="53"/>
      <c r="P137" s="53"/>
      <c r="Q137" s="53"/>
      <c r="R137" s="57"/>
      <c r="S137" s="53"/>
      <c r="T137" s="53"/>
      <c r="U137" s="685"/>
      <c r="V137" s="53"/>
      <c r="W137" s="53"/>
      <c r="X137" s="53"/>
      <c r="Y137" s="53"/>
      <c r="Z137" s="53"/>
      <c r="AA137" s="56"/>
      <c r="AB137" s="54"/>
      <c r="AC137" s="54"/>
      <c r="AD137" s="54"/>
      <c r="AE137" s="54"/>
    </row>
    <row r="138" s="130" customFormat="1" ht="11.25" customHeight="1">
      <c r="A138" s="684"/>
      <c r="B138" s="57"/>
      <c r="C138" s="57"/>
      <c r="D138" s="130"/>
      <c r="K138" s="53"/>
      <c r="L138" s="57"/>
      <c r="M138" s="57"/>
      <c r="N138" s="53"/>
      <c r="O138" s="53"/>
      <c r="P138" s="53"/>
      <c r="Q138" s="53"/>
      <c r="R138" s="57"/>
      <c r="S138" s="53"/>
      <c r="T138" s="53"/>
      <c r="U138" s="685"/>
      <c r="V138" s="53"/>
      <c r="W138" s="53"/>
      <c r="X138" s="53"/>
      <c r="Y138" s="53"/>
      <c r="Z138" s="53"/>
      <c r="AA138" s="56"/>
      <c r="AB138" s="54"/>
      <c r="AC138" s="54"/>
      <c r="AD138" s="54"/>
      <c r="AE138" s="54"/>
    </row>
    <row r="139" s="130" customFormat="1" ht="11.25" customHeight="1">
      <c r="A139" s="684"/>
      <c r="B139" s="57"/>
      <c r="C139" s="57"/>
      <c r="D139" s="130"/>
      <c r="K139" s="53"/>
      <c r="L139" s="57"/>
      <c r="M139" s="57"/>
      <c r="N139" s="53"/>
      <c r="O139" s="53"/>
      <c r="P139" s="53"/>
      <c r="Q139" s="53"/>
      <c r="R139" s="57"/>
      <c r="S139" s="53"/>
      <c r="T139" s="53"/>
      <c r="U139" s="685"/>
      <c r="V139" s="53"/>
      <c r="W139" s="53"/>
      <c r="X139" s="53"/>
      <c r="Y139" s="53"/>
      <c r="Z139" s="53"/>
      <c r="AA139" s="56"/>
      <c r="AB139" s="54"/>
      <c r="AC139" s="54"/>
      <c r="AD139" s="54"/>
      <c r="AE139" s="54"/>
    </row>
    <row r="140" s="130" customFormat="1" ht="11.25" customHeight="1">
      <c r="A140" s="684"/>
      <c r="B140" s="57"/>
      <c r="C140" s="57"/>
      <c r="D140" s="130"/>
      <c r="K140" s="53"/>
      <c r="L140" s="57"/>
      <c r="M140" s="57"/>
      <c r="N140" s="53"/>
      <c r="O140" s="53"/>
      <c r="P140" s="53"/>
      <c r="Q140" s="53"/>
      <c r="R140" s="57"/>
      <c r="S140" s="53"/>
      <c r="T140" s="53"/>
      <c r="U140" s="685"/>
      <c r="V140" s="53"/>
      <c r="W140" s="53"/>
      <c r="X140" s="53"/>
      <c r="Y140" s="53"/>
      <c r="Z140" s="53"/>
      <c r="AA140" s="56"/>
      <c r="AB140" s="54"/>
      <c r="AC140" s="54"/>
      <c r="AD140" s="54"/>
      <c r="AE140" s="54"/>
    </row>
    <row r="141" s="130" customFormat="1" ht="11.25" customHeight="1">
      <c r="A141" s="684"/>
      <c r="B141" s="57"/>
      <c r="C141" s="57"/>
      <c r="D141" s="130"/>
      <c r="K141" s="53"/>
      <c r="L141" s="57"/>
      <c r="M141" s="57"/>
      <c r="N141" s="53"/>
      <c r="O141" s="53"/>
      <c r="P141" s="53"/>
      <c r="Q141" s="53"/>
      <c r="R141" s="57"/>
      <c r="S141" s="53"/>
      <c r="T141" s="53"/>
      <c r="U141" s="685"/>
      <c r="V141" s="53"/>
      <c r="W141" s="53"/>
      <c r="X141" s="53"/>
      <c r="Y141" s="53"/>
      <c r="Z141" s="53"/>
      <c r="AA141" s="56"/>
      <c r="AB141" s="54"/>
      <c r="AC141" s="54"/>
      <c r="AD141" s="54"/>
      <c r="AE141" s="54"/>
    </row>
    <row r="142" s="130" customFormat="1" ht="11.25" customHeight="1">
      <c r="A142" s="684"/>
      <c r="B142" s="57"/>
      <c r="C142" s="57"/>
      <c r="D142" s="130"/>
      <c r="K142" s="53"/>
      <c r="L142" s="57"/>
      <c r="M142" s="57"/>
      <c r="N142" s="53"/>
      <c r="O142" s="53"/>
      <c r="P142" s="53"/>
      <c r="Q142" s="53"/>
      <c r="R142" s="57"/>
      <c r="S142" s="53"/>
      <c r="T142" s="53"/>
      <c r="U142" s="685"/>
      <c r="V142" s="53"/>
      <c r="W142" s="53"/>
      <c r="X142" s="53"/>
      <c r="Y142" s="53"/>
      <c r="Z142" s="53"/>
      <c r="AA142" s="56"/>
      <c r="AB142" s="54"/>
      <c r="AC142" s="54"/>
      <c r="AD142" s="54"/>
      <c r="AE142" s="54"/>
    </row>
    <row r="143" s="130" customFormat="1" ht="11.25" customHeight="1">
      <c r="A143" s="684"/>
      <c r="B143" s="57"/>
      <c r="C143" s="57"/>
      <c r="D143" s="130"/>
      <c r="K143" s="53"/>
      <c r="L143" s="57"/>
      <c r="M143" s="57"/>
      <c r="N143" s="53"/>
      <c r="O143" s="53"/>
      <c r="P143" s="53"/>
      <c r="Q143" s="53"/>
      <c r="R143" s="57"/>
      <c r="S143" s="53"/>
      <c r="T143" s="53"/>
      <c r="U143" s="685"/>
      <c r="V143" s="53"/>
      <c r="W143" s="53"/>
      <c r="X143" s="53"/>
      <c r="Y143" s="53"/>
      <c r="Z143" s="53"/>
      <c r="AA143" s="56"/>
      <c r="AB143" s="54"/>
      <c r="AC143" s="54"/>
      <c r="AD143" s="54"/>
      <c r="AE143" s="54"/>
    </row>
    <row r="144" s="130" customFormat="1" ht="11.25" customHeight="1">
      <c r="A144" s="684"/>
      <c r="B144" s="57"/>
      <c r="C144" s="57"/>
      <c r="D144" s="130"/>
      <c r="K144" s="53"/>
      <c r="L144" s="57"/>
      <c r="M144" s="57"/>
      <c r="N144" s="53"/>
      <c r="O144" s="53"/>
      <c r="P144" s="53"/>
      <c r="Q144" s="53"/>
      <c r="R144" s="57"/>
      <c r="S144" s="53"/>
      <c r="T144" s="53"/>
      <c r="U144" s="685"/>
      <c r="V144" s="53"/>
      <c r="W144" s="53"/>
      <c r="X144" s="53"/>
      <c r="Y144" s="53"/>
      <c r="Z144" s="53"/>
      <c r="AA144" s="56"/>
      <c r="AB144" s="54"/>
      <c r="AC144" s="54"/>
      <c r="AD144" s="54"/>
      <c r="AE144" s="54"/>
    </row>
    <row r="145" s="130" customFormat="1" ht="11.25" customHeight="1">
      <c r="A145" s="684"/>
      <c r="B145" s="57"/>
      <c r="C145" s="57"/>
      <c r="D145" s="130"/>
      <c r="K145" s="53"/>
      <c r="L145" s="57"/>
      <c r="M145" s="57"/>
      <c r="N145" s="53"/>
      <c r="O145" s="53"/>
      <c r="P145" s="53"/>
      <c r="Q145" s="53"/>
      <c r="R145" s="57"/>
      <c r="S145" s="53"/>
      <c r="T145" s="53"/>
      <c r="U145" s="685"/>
      <c r="V145" s="53"/>
      <c r="W145" s="53"/>
      <c r="X145" s="53"/>
      <c r="Y145" s="53"/>
      <c r="Z145" s="53"/>
      <c r="AA145" s="56"/>
      <c r="AB145" s="54"/>
      <c r="AC145" s="54"/>
      <c r="AD145" s="54"/>
      <c r="AE145" s="54"/>
    </row>
    <row r="146" s="130" customFormat="1" ht="11.25" customHeight="1">
      <c r="A146" s="684"/>
      <c r="B146" s="57"/>
      <c r="C146" s="57"/>
      <c r="D146" s="130"/>
      <c r="K146" s="53"/>
      <c r="L146" s="57"/>
      <c r="M146" s="57"/>
      <c r="N146" s="53"/>
      <c r="O146" s="53"/>
      <c r="P146" s="53"/>
      <c r="Q146" s="53"/>
      <c r="R146" s="57"/>
      <c r="S146" s="53"/>
      <c r="T146" s="53"/>
      <c r="U146" s="685"/>
      <c r="V146" s="53"/>
      <c r="W146" s="53"/>
      <c r="X146" s="53"/>
      <c r="Y146" s="53"/>
      <c r="Z146" s="53"/>
      <c r="AA146" s="56"/>
      <c r="AB146" s="54"/>
      <c r="AC146" s="54"/>
      <c r="AD146" s="54"/>
      <c r="AE146" s="54"/>
    </row>
    <row r="147" s="130" customFormat="1" ht="11.25" customHeight="1">
      <c r="A147" s="684"/>
      <c r="B147" s="57"/>
      <c r="C147" s="57"/>
      <c r="D147" s="130"/>
      <c r="K147" s="53"/>
      <c r="L147" s="57"/>
      <c r="M147" s="57"/>
      <c r="N147" s="53"/>
      <c r="O147" s="53"/>
      <c r="P147" s="53"/>
      <c r="Q147" s="53"/>
      <c r="R147" s="57"/>
      <c r="S147" s="53"/>
      <c r="T147" s="53"/>
      <c r="U147" s="685"/>
      <c r="V147" s="53"/>
      <c r="W147" s="53"/>
      <c r="X147" s="53"/>
      <c r="Y147" s="53"/>
      <c r="Z147" s="53"/>
      <c r="AA147" s="56"/>
      <c r="AB147" s="54"/>
      <c r="AC147" s="54"/>
      <c r="AD147" s="54"/>
      <c r="AE147" s="54"/>
    </row>
    <row r="148" s="130" customFormat="1" ht="11.25" customHeight="1">
      <c r="A148" s="684"/>
      <c r="B148" s="57"/>
      <c r="C148" s="57"/>
      <c r="D148" s="130"/>
      <c r="K148" s="53"/>
      <c r="L148" s="57"/>
      <c r="M148" s="57"/>
      <c r="N148" s="53"/>
      <c r="O148" s="53"/>
      <c r="P148" s="53"/>
      <c r="Q148" s="53"/>
      <c r="R148" s="57"/>
      <c r="S148" s="53"/>
      <c r="T148" s="53"/>
      <c r="U148" s="685"/>
      <c r="V148" s="53"/>
      <c r="W148" s="53"/>
      <c r="X148" s="53"/>
      <c r="Y148" s="53"/>
      <c r="Z148" s="53"/>
      <c r="AA148" s="56"/>
      <c r="AB148" s="54"/>
      <c r="AC148" s="54"/>
      <c r="AD148" s="54"/>
      <c r="AE148" s="54"/>
    </row>
    <row r="149" s="130" customFormat="1" ht="11.25" customHeight="1">
      <c r="A149" s="684"/>
      <c r="B149" s="57"/>
      <c r="C149" s="57"/>
      <c r="D149" s="130"/>
      <c r="K149" s="53"/>
      <c r="L149" s="57"/>
      <c r="M149" s="57"/>
      <c r="N149" s="53"/>
      <c r="O149" s="53"/>
      <c r="P149" s="53"/>
      <c r="Q149" s="53"/>
      <c r="R149" s="57"/>
      <c r="S149" s="53"/>
      <c r="T149" s="53"/>
      <c r="U149" s="685"/>
      <c r="V149" s="53"/>
      <c r="W149" s="53"/>
      <c r="X149" s="53"/>
      <c r="Y149" s="53"/>
      <c r="Z149" s="53"/>
      <c r="AA149" s="56"/>
      <c r="AB149" s="54"/>
      <c r="AC149" s="54"/>
      <c r="AD149" s="54"/>
      <c r="AE149" s="54"/>
    </row>
    <row r="150" s="130" customFormat="1" ht="11.25" customHeight="1">
      <c r="A150" s="684"/>
      <c r="B150" s="57"/>
      <c r="C150" s="57"/>
      <c r="D150" s="130"/>
      <c r="K150" s="53"/>
      <c r="L150" s="57"/>
      <c r="M150" s="57"/>
      <c r="N150" s="53"/>
      <c r="O150" s="53"/>
      <c r="P150" s="53"/>
      <c r="Q150" s="53"/>
      <c r="R150" s="57"/>
      <c r="S150" s="53"/>
      <c r="T150" s="53"/>
      <c r="U150" s="685"/>
      <c r="V150" s="53"/>
      <c r="W150" s="53"/>
      <c r="X150" s="53"/>
      <c r="Y150" s="53"/>
      <c r="Z150" s="53"/>
      <c r="AA150" s="56"/>
      <c r="AB150" s="54"/>
      <c r="AC150" s="54"/>
      <c r="AD150" s="54"/>
      <c r="AE150" s="54"/>
    </row>
    <row r="151" s="130" customFormat="1" ht="11.25" customHeight="1">
      <c r="A151" s="684"/>
      <c r="B151" s="57"/>
      <c r="C151" s="57"/>
      <c r="D151" s="130"/>
      <c r="K151" s="53"/>
      <c r="L151" s="57"/>
      <c r="M151" s="57"/>
      <c r="N151" s="53"/>
      <c r="O151" s="53"/>
      <c r="P151" s="53"/>
      <c r="Q151" s="53"/>
      <c r="R151" s="57"/>
      <c r="S151" s="53"/>
      <c r="T151" s="53"/>
      <c r="U151" s="685"/>
      <c r="V151" s="53"/>
      <c r="W151" s="53"/>
      <c r="X151" s="53"/>
      <c r="Y151" s="53"/>
      <c r="Z151" s="53"/>
      <c r="AA151" s="56"/>
      <c r="AB151" s="54"/>
      <c r="AC151" s="54"/>
      <c r="AD151" s="54"/>
      <c r="AE151" s="54"/>
    </row>
    <row r="152" s="130" customFormat="1" ht="11.25" customHeight="1">
      <c r="A152" s="684"/>
      <c r="B152" s="57"/>
      <c r="C152" s="57"/>
      <c r="D152" s="130"/>
      <c r="K152" s="53"/>
      <c r="L152" s="57"/>
      <c r="M152" s="57"/>
      <c r="N152" s="53"/>
      <c r="O152" s="53"/>
      <c r="P152" s="53"/>
      <c r="Q152" s="53"/>
      <c r="R152" s="57"/>
      <c r="S152" s="53"/>
      <c r="T152" s="53"/>
      <c r="U152" s="685"/>
      <c r="V152" s="53"/>
      <c r="W152" s="53"/>
      <c r="X152" s="53"/>
      <c r="Y152" s="53"/>
      <c r="Z152" s="53"/>
      <c r="AA152" s="56"/>
      <c r="AB152" s="54"/>
      <c r="AC152" s="54"/>
      <c r="AD152" s="54"/>
      <c r="AE152" s="54"/>
    </row>
    <row r="153" s="130" customFormat="1" ht="11.25" customHeight="1">
      <c r="A153" s="684"/>
      <c r="B153" s="57"/>
      <c r="C153" s="57"/>
      <c r="D153" s="130"/>
      <c r="K153" s="53"/>
      <c r="L153" s="57"/>
      <c r="M153" s="57"/>
      <c r="N153" s="53"/>
      <c r="O153" s="53"/>
      <c r="P153" s="53"/>
      <c r="Q153" s="53"/>
      <c r="R153" s="57"/>
      <c r="S153" s="53"/>
      <c r="T153" s="53"/>
      <c r="U153" s="685"/>
      <c r="V153" s="53"/>
      <c r="W153" s="53"/>
      <c r="X153" s="53"/>
      <c r="Y153" s="53"/>
      <c r="Z153" s="53"/>
      <c r="AA153" s="56"/>
      <c r="AB153" s="54"/>
      <c r="AC153" s="54"/>
      <c r="AD153" s="54"/>
      <c r="AE153" s="54"/>
    </row>
    <row r="154" s="130" customFormat="1" ht="11.25" customHeight="1">
      <c r="A154" s="684"/>
      <c r="B154" s="57"/>
      <c r="C154" s="57"/>
      <c r="D154" s="130"/>
      <c r="K154" s="53"/>
      <c r="L154" s="57"/>
      <c r="M154" s="57"/>
      <c r="N154" s="53"/>
      <c r="O154" s="53"/>
      <c r="P154" s="53"/>
      <c r="Q154" s="53"/>
      <c r="R154" s="57"/>
      <c r="S154" s="53"/>
      <c r="T154" s="53"/>
      <c r="U154" s="685"/>
      <c r="V154" s="53"/>
      <c r="W154" s="53"/>
      <c r="X154" s="53"/>
      <c r="Y154" s="53"/>
      <c r="Z154" s="53"/>
      <c r="AA154" s="56"/>
      <c r="AB154" s="54"/>
      <c r="AC154" s="54"/>
      <c r="AD154" s="54"/>
      <c r="AE154" s="54"/>
    </row>
    <row r="155" s="130" customFormat="1" ht="11.25" customHeight="1">
      <c r="A155" s="684"/>
      <c r="B155" s="57"/>
      <c r="C155" s="57"/>
      <c r="D155" s="130"/>
      <c r="K155" s="53"/>
      <c r="L155" s="57"/>
      <c r="M155" s="57"/>
      <c r="N155" s="53"/>
      <c r="O155" s="53"/>
      <c r="P155" s="53"/>
      <c r="Q155" s="53"/>
      <c r="R155" s="57"/>
      <c r="S155" s="53"/>
      <c r="T155" s="53"/>
      <c r="U155" s="685"/>
      <c r="V155" s="53"/>
      <c r="W155" s="53"/>
      <c r="X155" s="53"/>
      <c r="Y155" s="53"/>
      <c r="Z155" s="53"/>
      <c r="AA155" s="56"/>
      <c r="AB155" s="54"/>
      <c r="AC155" s="54"/>
      <c r="AD155" s="54"/>
      <c r="AE155" s="54"/>
    </row>
    <row r="156" s="130" customFormat="1" ht="11.25" customHeight="1">
      <c r="A156" s="684"/>
      <c r="B156" s="57"/>
      <c r="C156" s="57"/>
      <c r="D156" s="130"/>
      <c r="K156" s="53"/>
      <c r="L156" s="57"/>
      <c r="M156" s="57"/>
      <c r="N156" s="53"/>
      <c r="O156" s="53"/>
      <c r="P156" s="53"/>
      <c r="Q156" s="53"/>
      <c r="R156" s="57"/>
      <c r="S156" s="53"/>
      <c r="T156" s="53"/>
      <c r="U156" s="685"/>
      <c r="V156" s="53"/>
      <c r="W156" s="53"/>
      <c r="X156" s="53"/>
      <c r="Y156" s="53"/>
      <c r="Z156" s="53"/>
      <c r="AA156" s="56"/>
      <c r="AB156" s="54"/>
      <c r="AC156" s="54"/>
      <c r="AD156" s="54"/>
      <c r="AE156" s="54"/>
    </row>
    <row r="157" s="130" customFormat="1" ht="11.25" customHeight="1">
      <c r="A157" s="684"/>
      <c r="B157" s="57"/>
      <c r="C157" s="57"/>
      <c r="D157" s="130"/>
      <c r="K157" s="53"/>
      <c r="L157" s="57"/>
      <c r="M157" s="57"/>
      <c r="N157" s="53"/>
      <c r="O157" s="53"/>
      <c r="P157" s="53"/>
      <c r="Q157" s="53"/>
      <c r="R157" s="57"/>
      <c r="S157" s="53"/>
      <c r="T157" s="53"/>
      <c r="U157" s="685"/>
      <c r="V157" s="53"/>
      <c r="W157" s="53"/>
      <c r="X157" s="53"/>
      <c r="Y157" s="53"/>
      <c r="Z157" s="53"/>
      <c r="AA157" s="56"/>
      <c r="AB157" s="54"/>
      <c r="AC157" s="54"/>
      <c r="AD157" s="54"/>
      <c r="AE157" s="54"/>
    </row>
    <row r="158" s="130" customFormat="1" ht="11.25" customHeight="1">
      <c r="A158" s="684"/>
      <c r="B158" s="57"/>
      <c r="C158" s="57"/>
      <c r="D158" s="130"/>
      <c r="K158" s="53"/>
      <c r="L158" s="57"/>
      <c r="M158" s="57"/>
      <c r="N158" s="53"/>
      <c r="O158" s="53"/>
      <c r="P158" s="53"/>
      <c r="Q158" s="53"/>
      <c r="R158" s="57"/>
      <c r="S158" s="53"/>
      <c r="T158" s="53"/>
      <c r="U158" s="685"/>
      <c r="V158" s="53"/>
      <c r="W158" s="53"/>
      <c r="X158" s="53"/>
      <c r="Y158" s="53"/>
      <c r="Z158" s="53"/>
      <c r="AA158" s="56"/>
      <c r="AB158" s="54"/>
      <c r="AC158" s="54"/>
      <c r="AD158" s="54"/>
      <c r="AE158" s="54"/>
    </row>
    <row r="159" s="130" customFormat="1" ht="11.25" customHeight="1">
      <c r="A159" s="684"/>
      <c r="B159" s="57"/>
      <c r="C159" s="57"/>
      <c r="D159" s="130"/>
      <c r="K159" s="53"/>
      <c r="L159" s="57"/>
      <c r="M159" s="57"/>
      <c r="N159" s="53"/>
      <c r="O159" s="53"/>
      <c r="P159" s="53"/>
      <c r="Q159" s="53"/>
      <c r="R159" s="57"/>
      <c r="S159" s="53"/>
      <c r="T159" s="53"/>
      <c r="U159" s="685"/>
      <c r="V159" s="53"/>
      <c r="W159" s="53"/>
      <c r="X159" s="53"/>
      <c r="Y159" s="53"/>
      <c r="Z159" s="53"/>
      <c r="AA159" s="56"/>
      <c r="AB159" s="54"/>
      <c r="AC159" s="54"/>
      <c r="AD159" s="54"/>
      <c r="AE159" s="54"/>
    </row>
    <row r="160" s="130" customFormat="1" ht="11.25" customHeight="1">
      <c r="A160" s="684"/>
      <c r="B160" s="57"/>
      <c r="C160" s="57"/>
      <c r="D160" s="130"/>
      <c r="K160" s="53"/>
      <c r="L160" s="57"/>
      <c r="M160" s="57"/>
      <c r="N160" s="53"/>
      <c r="O160" s="53"/>
      <c r="P160" s="53"/>
      <c r="Q160" s="53"/>
      <c r="R160" s="57"/>
      <c r="S160" s="53"/>
      <c r="T160" s="53"/>
      <c r="U160" s="685"/>
      <c r="V160" s="53"/>
      <c r="W160" s="53"/>
      <c r="X160" s="53"/>
      <c r="Y160" s="53"/>
      <c r="Z160" s="53"/>
      <c r="AA160" s="56"/>
      <c r="AB160" s="54"/>
      <c r="AC160" s="54"/>
      <c r="AD160" s="54"/>
      <c r="AE160" s="54"/>
    </row>
    <row r="161" s="130" customFormat="1" ht="11.25" customHeight="1">
      <c r="A161" s="684"/>
      <c r="B161" s="57"/>
      <c r="C161" s="57"/>
      <c r="D161" s="130"/>
      <c r="K161" s="53"/>
      <c r="L161" s="57"/>
      <c r="M161" s="57"/>
      <c r="N161" s="53"/>
      <c r="O161" s="53"/>
      <c r="P161" s="53"/>
      <c r="Q161" s="53"/>
      <c r="R161" s="57"/>
      <c r="S161" s="53"/>
      <c r="T161" s="53"/>
      <c r="U161" s="685"/>
      <c r="V161" s="53"/>
      <c r="W161" s="53"/>
      <c r="X161" s="53"/>
      <c r="Y161" s="53"/>
      <c r="Z161" s="53"/>
      <c r="AA161" s="56"/>
      <c r="AB161" s="54"/>
      <c r="AC161" s="54"/>
      <c r="AD161" s="54"/>
      <c r="AE161" s="54"/>
    </row>
    <row r="162" s="130" customFormat="1" ht="11.25" customHeight="1">
      <c r="A162" s="684"/>
      <c r="B162" s="57"/>
      <c r="C162" s="57"/>
      <c r="D162" s="130"/>
      <c r="K162" s="53"/>
      <c r="L162" s="57"/>
      <c r="M162" s="57"/>
      <c r="N162" s="53"/>
      <c r="O162" s="53"/>
      <c r="P162" s="53"/>
      <c r="Q162" s="53"/>
      <c r="R162" s="57"/>
      <c r="S162" s="53"/>
      <c r="T162" s="53"/>
      <c r="U162" s="685"/>
      <c r="V162" s="53"/>
      <c r="W162" s="53"/>
      <c r="X162" s="53"/>
      <c r="Y162" s="53"/>
      <c r="Z162" s="53"/>
      <c r="AA162" s="56"/>
      <c r="AB162" s="54"/>
      <c r="AC162" s="54"/>
      <c r="AD162" s="54"/>
      <c r="AE162" s="54"/>
    </row>
    <row r="163" s="130" customFormat="1" ht="11.25" customHeight="1">
      <c r="A163" s="684"/>
      <c r="B163" s="57"/>
      <c r="C163" s="57"/>
      <c r="D163" s="130"/>
      <c r="K163" s="53"/>
      <c r="L163" s="57"/>
      <c r="M163" s="57"/>
      <c r="N163" s="53"/>
      <c r="O163" s="53"/>
      <c r="P163" s="53"/>
      <c r="Q163" s="53"/>
      <c r="R163" s="57"/>
      <c r="S163" s="53"/>
      <c r="T163" s="53"/>
      <c r="U163" s="685"/>
      <c r="V163" s="53"/>
      <c r="W163" s="53"/>
      <c r="X163" s="53"/>
      <c r="Y163" s="53"/>
      <c r="Z163" s="53"/>
      <c r="AA163" s="56"/>
      <c r="AB163" s="54"/>
      <c r="AC163" s="54"/>
      <c r="AD163" s="54"/>
      <c r="AE163" s="54"/>
    </row>
    <row r="164" s="130" customFormat="1" ht="11.25" customHeight="1">
      <c r="A164" s="684"/>
      <c r="B164" s="57"/>
      <c r="C164" s="57"/>
      <c r="D164" s="130"/>
      <c r="K164" s="53"/>
      <c r="L164" s="57"/>
      <c r="M164" s="57"/>
      <c r="N164" s="53"/>
      <c r="O164" s="53"/>
      <c r="P164" s="53"/>
      <c r="Q164" s="53"/>
      <c r="R164" s="57"/>
      <c r="S164" s="53"/>
      <c r="T164" s="53"/>
      <c r="U164" s="685"/>
      <c r="V164" s="53"/>
      <c r="W164" s="53"/>
      <c r="X164" s="53"/>
      <c r="Y164" s="53"/>
      <c r="Z164" s="53"/>
      <c r="AA164" s="56"/>
      <c r="AB164" s="54"/>
      <c r="AC164" s="54"/>
      <c r="AD164" s="54"/>
      <c r="AE164" s="54"/>
    </row>
    <row r="165" s="130" customFormat="1" ht="11.25" customHeight="1">
      <c r="A165" s="684"/>
      <c r="B165" s="57"/>
      <c r="C165" s="57"/>
      <c r="D165" s="130"/>
      <c r="K165" s="53"/>
      <c r="L165" s="57"/>
      <c r="M165" s="57"/>
      <c r="N165" s="53"/>
      <c r="O165" s="53"/>
      <c r="P165" s="53"/>
      <c r="Q165" s="53"/>
      <c r="R165" s="57"/>
      <c r="S165" s="53"/>
      <c r="T165" s="53"/>
      <c r="U165" s="685"/>
      <c r="V165" s="53"/>
      <c r="W165" s="53"/>
      <c r="X165" s="53"/>
      <c r="Y165" s="53"/>
      <c r="Z165" s="53"/>
      <c r="AA165" s="56"/>
      <c r="AB165" s="54"/>
      <c r="AC165" s="54"/>
      <c r="AD165" s="54"/>
      <c r="AE165" s="54"/>
    </row>
    <row r="166" s="130" customFormat="1" ht="11.25" customHeight="1">
      <c r="A166" s="684"/>
      <c r="B166" s="57"/>
      <c r="C166" s="57"/>
      <c r="D166" s="130"/>
      <c r="K166" s="53"/>
      <c r="L166" s="57"/>
      <c r="M166" s="57"/>
      <c r="N166" s="53"/>
      <c r="O166" s="53"/>
      <c r="P166" s="53"/>
      <c r="Q166" s="53"/>
      <c r="R166" s="57"/>
      <c r="S166" s="53"/>
      <c r="T166" s="53"/>
      <c r="U166" s="685"/>
      <c r="V166" s="53"/>
      <c r="W166" s="53"/>
      <c r="X166" s="53"/>
      <c r="Y166" s="53"/>
      <c r="Z166" s="53"/>
      <c r="AA166" s="56"/>
      <c r="AB166" s="54"/>
      <c r="AC166" s="54"/>
      <c r="AD166" s="54"/>
      <c r="AE166" s="54"/>
    </row>
    <row r="167" s="130" customFormat="1" ht="11.25" customHeight="1">
      <c r="A167" s="684"/>
      <c r="B167" s="57"/>
      <c r="C167" s="57"/>
      <c r="D167" s="130"/>
      <c r="K167" s="53"/>
      <c r="L167" s="57"/>
      <c r="M167" s="57"/>
      <c r="N167" s="53"/>
      <c r="O167" s="53"/>
      <c r="P167" s="53"/>
      <c r="Q167" s="53"/>
      <c r="R167" s="57"/>
      <c r="S167" s="53"/>
      <c r="T167" s="53"/>
      <c r="U167" s="685"/>
      <c r="V167" s="53"/>
      <c r="W167" s="53"/>
      <c r="X167" s="53"/>
      <c r="Y167" s="53"/>
      <c r="Z167" s="53"/>
      <c r="AA167" s="56"/>
      <c r="AB167" s="54"/>
      <c r="AC167" s="54"/>
      <c r="AD167" s="54"/>
      <c r="AE167" s="54"/>
    </row>
    <row r="168" s="130" customFormat="1" ht="11.25" customHeight="1">
      <c r="A168" s="684"/>
      <c r="B168" s="57"/>
      <c r="C168" s="57"/>
      <c r="D168" s="130"/>
      <c r="K168" s="53"/>
      <c r="L168" s="57"/>
      <c r="M168" s="57"/>
      <c r="N168" s="53"/>
      <c r="O168" s="53"/>
      <c r="P168" s="53"/>
      <c r="Q168" s="53"/>
      <c r="R168" s="57"/>
      <c r="S168" s="53"/>
      <c r="T168" s="53"/>
      <c r="U168" s="685"/>
      <c r="V168" s="53"/>
      <c r="W168" s="53"/>
      <c r="X168" s="53"/>
      <c r="Y168" s="53"/>
      <c r="Z168" s="53"/>
      <c r="AA168" s="56"/>
      <c r="AB168" s="54"/>
      <c r="AC168" s="54"/>
      <c r="AD168" s="54"/>
      <c r="AE168" s="54"/>
    </row>
    <row r="169" s="130" customFormat="1" ht="11.25" customHeight="1">
      <c r="A169" s="684"/>
      <c r="B169" s="57"/>
      <c r="C169" s="57"/>
      <c r="D169" s="130"/>
      <c r="K169" s="53"/>
      <c r="L169" s="57"/>
      <c r="M169" s="57"/>
      <c r="N169" s="53"/>
      <c r="O169" s="53"/>
      <c r="P169" s="53"/>
      <c r="Q169" s="53"/>
      <c r="R169" s="57"/>
      <c r="S169" s="53"/>
      <c r="T169" s="53"/>
      <c r="U169" s="685"/>
      <c r="V169" s="53"/>
      <c r="W169" s="53"/>
      <c r="X169" s="53"/>
      <c r="Y169" s="53"/>
      <c r="Z169" s="53"/>
      <c r="AA169" s="56"/>
      <c r="AB169" s="54"/>
      <c r="AC169" s="54"/>
      <c r="AD169" s="54"/>
      <c r="AE169" s="54"/>
    </row>
    <row r="170" s="130" customFormat="1" ht="11.25" customHeight="1">
      <c r="A170" s="684"/>
      <c r="B170" s="57"/>
      <c r="C170" s="57"/>
      <c r="D170" s="130"/>
      <c r="K170" s="53"/>
      <c r="L170" s="57"/>
      <c r="M170" s="57"/>
      <c r="N170" s="53"/>
      <c r="O170" s="53"/>
      <c r="P170" s="53"/>
      <c r="Q170" s="53"/>
      <c r="R170" s="57"/>
      <c r="S170" s="53"/>
      <c r="T170" s="53"/>
      <c r="U170" s="685"/>
      <c r="V170" s="53"/>
      <c r="W170" s="53"/>
      <c r="X170" s="53"/>
      <c r="Y170" s="53"/>
      <c r="Z170" s="53"/>
      <c r="AA170" s="56"/>
      <c r="AB170" s="54"/>
      <c r="AC170" s="54"/>
      <c r="AD170" s="54"/>
      <c r="AE170" s="54"/>
    </row>
    <row r="171" s="130" customFormat="1" ht="11.25" customHeight="1">
      <c r="A171" s="684"/>
      <c r="B171" s="57"/>
      <c r="C171" s="57"/>
      <c r="D171" s="130"/>
      <c r="K171" s="53"/>
      <c r="L171" s="57"/>
      <c r="M171" s="57"/>
      <c r="N171" s="53"/>
      <c r="O171" s="53"/>
      <c r="P171" s="53"/>
      <c r="Q171" s="53"/>
      <c r="R171" s="57"/>
      <c r="S171" s="53"/>
      <c r="T171" s="53"/>
      <c r="U171" s="685"/>
      <c r="V171" s="53"/>
      <c r="W171" s="53"/>
      <c r="X171" s="53"/>
      <c r="Y171" s="53"/>
      <c r="Z171" s="53"/>
      <c r="AA171" s="56"/>
      <c r="AB171" s="54"/>
      <c r="AC171" s="54"/>
      <c r="AD171" s="54"/>
      <c r="AE171" s="54"/>
    </row>
    <row r="172" s="130" customFormat="1" ht="11.25" customHeight="1">
      <c r="A172" s="684"/>
      <c r="B172" s="57"/>
      <c r="C172" s="57"/>
      <c r="D172" s="130"/>
      <c r="K172" s="53"/>
      <c r="L172" s="57"/>
      <c r="M172" s="57"/>
      <c r="N172" s="53"/>
      <c r="O172" s="53"/>
      <c r="P172" s="53"/>
      <c r="Q172" s="53"/>
      <c r="R172" s="57"/>
      <c r="S172" s="53"/>
      <c r="T172" s="53"/>
      <c r="U172" s="685"/>
      <c r="V172" s="53"/>
      <c r="W172" s="53"/>
      <c r="X172" s="53"/>
      <c r="Y172" s="53"/>
      <c r="Z172" s="53"/>
      <c r="AA172" s="56"/>
      <c r="AB172" s="54"/>
      <c r="AC172" s="54"/>
      <c r="AD172" s="54"/>
      <c r="AE172" s="54"/>
    </row>
    <row r="173" s="130" customFormat="1" ht="11.25" customHeight="1">
      <c r="A173" s="684"/>
      <c r="B173" s="57"/>
      <c r="C173" s="57"/>
      <c r="D173" s="130"/>
      <c r="K173" s="53"/>
      <c r="L173" s="57"/>
      <c r="M173" s="57"/>
      <c r="N173" s="53"/>
      <c r="O173" s="53"/>
      <c r="P173" s="53"/>
      <c r="Q173" s="53"/>
      <c r="R173" s="57"/>
      <c r="S173" s="53"/>
      <c r="T173" s="53"/>
      <c r="U173" s="685"/>
      <c r="V173" s="53"/>
      <c r="W173" s="53"/>
      <c r="X173" s="53"/>
      <c r="Y173" s="53"/>
      <c r="Z173" s="53"/>
      <c r="AA173" s="56"/>
      <c r="AB173" s="54"/>
      <c r="AC173" s="54"/>
      <c r="AD173" s="54"/>
      <c r="AE173" s="54"/>
    </row>
    <row r="174" s="130" customFormat="1" ht="11.25" customHeight="1">
      <c r="A174" s="684"/>
      <c r="B174" s="57"/>
      <c r="C174" s="57"/>
      <c r="D174" s="130"/>
      <c r="K174" s="53"/>
      <c r="L174" s="57"/>
      <c r="M174" s="57"/>
      <c r="N174" s="53"/>
      <c r="O174" s="53"/>
      <c r="P174" s="53"/>
      <c r="Q174" s="53"/>
      <c r="R174" s="57"/>
      <c r="S174" s="53"/>
      <c r="T174" s="53"/>
      <c r="U174" s="685"/>
      <c r="V174" s="53"/>
      <c r="W174" s="53"/>
      <c r="X174" s="53"/>
      <c r="Y174" s="53"/>
      <c r="Z174" s="53"/>
      <c r="AA174" s="56"/>
      <c r="AB174" s="54"/>
      <c r="AC174" s="54"/>
      <c r="AD174" s="54"/>
      <c r="AE174" s="54"/>
    </row>
    <row r="175" s="130" customFormat="1" ht="11.25" customHeight="1">
      <c r="A175" s="684"/>
      <c r="B175" s="57"/>
      <c r="C175" s="57"/>
      <c r="D175" s="130"/>
      <c r="K175" s="53"/>
      <c r="L175" s="57"/>
      <c r="M175" s="57"/>
      <c r="N175" s="53"/>
      <c r="O175" s="53"/>
      <c r="P175" s="53"/>
      <c r="Q175" s="53"/>
      <c r="R175" s="57"/>
      <c r="S175" s="53"/>
      <c r="T175" s="53"/>
      <c r="U175" s="685"/>
      <c r="V175" s="53"/>
      <c r="W175" s="53"/>
      <c r="X175" s="53"/>
      <c r="Y175" s="53"/>
      <c r="Z175" s="53"/>
      <c r="AA175" s="56"/>
      <c r="AB175" s="54"/>
      <c r="AC175" s="54"/>
      <c r="AD175" s="54"/>
      <c r="AE175" s="54"/>
    </row>
    <row r="176" s="130" customFormat="1" ht="11.25" customHeight="1">
      <c r="A176" s="684"/>
      <c r="B176" s="57"/>
      <c r="C176" s="57"/>
      <c r="D176" s="130"/>
      <c r="K176" s="53"/>
      <c r="L176" s="57"/>
      <c r="M176" s="57"/>
      <c r="N176" s="53"/>
      <c r="O176" s="53"/>
      <c r="P176" s="53"/>
      <c r="Q176" s="53"/>
      <c r="R176" s="57"/>
      <c r="S176" s="53"/>
      <c r="T176" s="53"/>
      <c r="U176" s="685"/>
      <c r="V176" s="53"/>
      <c r="W176" s="53"/>
      <c r="X176" s="53"/>
      <c r="Y176" s="53"/>
      <c r="Z176" s="53"/>
      <c r="AA176" s="56"/>
      <c r="AB176" s="54"/>
      <c r="AC176" s="54"/>
      <c r="AD176" s="54"/>
      <c r="AE176" s="54"/>
    </row>
    <row r="177" s="130" customFormat="1" ht="11.25" customHeight="1">
      <c r="A177" s="684"/>
      <c r="B177" s="57"/>
      <c r="C177" s="57"/>
      <c r="D177" s="130"/>
      <c r="K177" s="53"/>
      <c r="L177" s="57"/>
      <c r="M177" s="57"/>
      <c r="N177" s="53"/>
      <c r="O177" s="53"/>
      <c r="P177" s="53"/>
      <c r="Q177" s="53"/>
      <c r="R177" s="57"/>
      <c r="S177" s="53"/>
      <c r="T177" s="53"/>
      <c r="U177" s="685"/>
      <c r="V177" s="53"/>
      <c r="W177" s="53"/>
      <c r="X177" s="53"/>
      <c r="Y177" s="53"/>
      <c r="Z177" s="53"/>
      <c r="AA177" s="56"/>
      <c r="AB177" s="54"/>
      <c r="AC177" s="54"/>
      <c r="AD177" s="54"/>
      <c r="AE177" s="54"/>
    </row>
    <row r="178" s="130" customFormat="1" ht="11.25" customHeight="1">
      <c r="A178" s="684"/>
      <c r="B178" s="57"/>
      <c r="C178" s="57"/>
      <c r="D178" s="130"/>
      <c r="K178" s="53"/>
      <c r="L178" s="57"/>
      <c r="M178" s="57"/>
      <c r="N178" s="53"/>
      <c r="O178" s="53"/>
      <c r="P178" s="53"/>
      <c r="Q178" s="53"/>
      <c r="R178" s="57"/>
      <c r="S178" s="53"/>
      <c r="T178" s="53"/>
      <c r="U178" s="685"/>
      <c r="V178" s="53"/>
      <c r="W178" s="53"/>
      <c r="X178" s="53"/>
      <c r="Y178" s="53"/>
      <c r="Z178" s="53"/>
      <c r="AA178" s="56"/>
      <c r="AB178" s="54"/>
      <c r="AC178" s="54"/>
      <c r="AD178" s="54"/>
      <c r="AE178" s="54"/>
    </row>
    <row r="179" s="130" customFormat="1" ht="11.25" customHeight="1">
      <c r="A179" s="684"/>
      <c r="B179" s="57"/>
      <c r="C179" s="57"/>
      <c r="D179" s="130"/>
      <c r="K179" s="53"/>
      <c r="L179" s="57"/>
      <c r="M179" s="57"/>
      <c r="N179" s="53"/>
      <c r="O179" s="53"/>
      <c r="P179" s="53"/>
      <c r="Q179" s="53"/>
      <c r="R179" s="57"/>
      <c r="S179" s="53"/>
      <c r="T179" s="53"/>
      <c r="U179" s="685"/>
      <c r="V179" s="53"/>
      <c r="W179" s="53"/>
      <c r="X179" s="53"/>
      <c r="Y179" s="53"/>
      <c r="Z179" s="53"/>
      <c r="AA179" s="56"/>
      <c r="AB179" s="54"/>
      <c r="AC179" s="54"/>
      <c r="AD179" s="54"/>
      <c r="AE179" s="54"/>
    </row>
    <row r="180" s="130" customFormat="1" ht="11.25" customHeight="1">
      <c r="A180" s="684"/>
      <c r="B180" s="57"/>
      <c r="C180" s="57"/>
      <c r="D180" s="130"/>
      <c r="K180" s="53"/>
      <c r="L180" s="57"/>
      <c r="M180" s="57"/>
      <c r="N180" s="53"/>
      <c r="O180" s="53"/>
      <c r="P180" s="53"/>
      <c r="Q180" s="53"/>
      <c r="R180" s="57"/>
      <c r="S180" s="53"/>
      <c r="T180" s="53"/>
      <c r="U180" s="685"/>
      <c r="V180" s="53"/>
      <c r="W180" s="53"/>
      <c r="X180" s="53"/>
      <c r="Y180" s="53"/>
      <c r="Z180" s="53"/>
      <c r="AA180" s="56"/>
      <c r="AB180" s="54"/>
      <c r="AC180" s="54"/>
      <c r="AD180" s="54"/>
      <c r="AE180" s="54"/>
    </row>
    <row r="181" s="130" customFormat="1" ht="11.25" customHeight="1">
      <c r="A181" s="684"/>
      <c r="B181" s="57"/>
      <c r="C181" s="57"/>
      <c r="D181" s="130"/>
      <c r="K181" s="53"/>
      <c r="L181" s="57"/>
      <c r="M181" s="57"/>
      <c r="N181" s="53"/>
      <c r="O181" s="53"/>
      <c r="P181" s="53"/>
      <c r="Q181" s="53"/>
      <c r="R181" s="57"/>
      <c r="S181" s="53"/>
      <c r="T181" s="53"/>
      <c r="U181" s="685"/>
      <c r="V181" s="53"/>
      <c r="W181" s="53"/>
      <c r="X181" s="53"/>
      <c r="Y181" s="53"/>
      <c r="Z181" s="53"/>
      <c r="AA181" s="56"/>
      <c r="AB181" s="54"/>
      <c r="AC181" s="54"/>
      <c r="AD181" s="54"/>
      <c r="AE181" s="54"/>
    </row>
    <row r="182" s="130" customFormat="1" ht="11.25" customHeight="1">
      <c r="A182" s="684"/>
      <c r="B182" s="57"/>
      <c r="C182" s="57"/>
      <c r="D182" s="130"/>
      <c r="K182" s="53"/>
      <c r="L182" s="57"/>
      <c r="M182" s="57"/>
      <c r="N182" s="53"/>
      <c r="O182" s="53"/>
      <c r="P182" s="53"/>
      <c r="Q182" s="53"/>
      <c r="R182" s="57"/>
      <c r="S182" s="53"/>
      <c r="T182" s="53"/>
      <c r="U182" s="685"/>
      <c r="V182" s="53"/>
      <c r="W182" s="53"/>
      <c r="X182" s="53"/>
      <c r="Y182" s="53"/>
      <c r="Z182" s="53"/>
      <c r="AA182" s="56"/>
      <c r="AB182" s="54"/>
      <c r="AC182" s="54"/>
      <c r="AD182" s="54"/>
      <c r="AE182" s="54"/>
    </row>
    <row r="183" s="130" customFormat="1" ht="11.25" customHeight="1">
      <c r="A183" s="684"/>
      <c r="B183" s="57"/>
      <c r="C183" s="57"/>
      <c r="D183" s="130"/>
      <c r="K183" s="53"/>
      <c r="L183" s="57"/>
      <c r="M183" s="57"/>
      <c r="N183" s="53"/>
      <c r="O183" s="53"/>
      <c r="P183" s="53"/>
      <c r="Q183" s="53"/>
      <c r="R183" s="57"/>
      <c r="S183" s="53"/>
      <c r="T183" s="53"/>
      <c r="U183" s="685"/>
      <c r="V183" s="53"/>
      <c r="W183" s="53"/>
      <c r="X183" s="53"/>
      <c r="Y183" s="53"/>
      <c r="Z183" s="53"/>
      <c r="AA183" s="56"/>
      <c r="AB183" s="54"/>
      <c r="AC183" s="54"/>
      <c r="AD183" s="54"/>
      <c r="AE183" s="54"/>
    </row>
    <row r="184" s="130" customFormat="1" ht="11.25" customHeight="1">
      <c r="A184" s="684"/>
      <c r="B184" s="57"/>
      <c r="C184" s="57"/>
      <c r="D184" s="130"/>
      <c r="K184" s="53"/>
      <c r="L184" s="57"/>
      <c r="M184" s="57"/>
      <c r="N184" s="53"/>
      <c r="O184" s="53"/>
      <c r="P184" s="53"/>
      <c r="Q184" s="53"/>
      <c r="R184" s="57"/>
      <c r="S184" s="53"/>
      <c r="T184" s="53"/>
      <c r="U184" s="685"/>
      <c r="V184" s="53"/>
      <c r="W184" s="53"/>
      <c r="X184" s="53"/>
      <c r="Y184" s="53"/>
      <c r="Z184" s="53"/>
      <c r="AA184" s="56"/>
      <c r="AB184" s="54"/>
      <c r="AC184" s="54"/>
      <c r="AD184" s="54"/>
      <c r="AE184" s="54"/>
    </row>
    <row r="185" s="130" customFormat="1" ht="11.25" customHeight="1">
      <c r="A185" s="684"/>
      <c r="B185" s="57"/>
      <c r="C185" s="57"/>
      <c r="D185" s="130"/>
      <c r="K185" s="53"/>
      <c r="L185" s="57"/>
      <c r="M185" s="57"/>
      <c r="N185" s="53"/>
      <c r="O185" s="53"/>
      <c r="P185" s="53"/>
      <c r="Q185" s="53"/>
      <c r="R185" s="57"/>
      <c r="S185" s="53"/>
      <c r="T185" s="53"/>
      <c r="U185" s="685"/>
      <c r="V185" s="53"/>
      <c r="W185" s="53"/>
      <c r="X185" s="53"/>
      <c r="Y185" s="53"/>
      <c r="Z185" s="53"/>
      <c r="AA185" s="56"/>
      <c r="AB185" s="54"/>
      <c r="AC185" s="54"/>
      <c r="AD185" s="54"/>
      <c r="AE185" s="54"/>
    </row>
    <row r="186" s="130" customFormat="1" ht="11.25" customHeight="1">
      <c r="A186" s="684"/>
      <c r="B186" s="57"/>
      <c r="C186" s="57"/>
      <c r="D186" s="130"/>
      <c r="K186" s="53"/>
      <c r="L186" s="57"/>
      <c r="M186" s="57"/>
      <c r="N186" s="53"/>
      <c r="O186" s="53"/>
      <c r="P186" s="53"/>
      <c r="Q186" s="53"/>
      <c r="R186" s="57"/>
      <c r="S186" s="53"/>
      <c r="T186" s="53"/>
      <c r="U186" s="685"/>
      <c r="V186" s="53"/>
      <c r="W186" s="53"/>
      <c r="X186" s="53"/>
      <c r="Y186" s="53"/>
      <c r="Z186" s="53"/>
      <c r="AA186" s="56"/>
      <c r="AB186" s="54"/>
      <c r="AC186" s="54"/>
      <c r="AD186" s="54"/>
      <c r="AE186" s="54"/>
    </row>
    <row r="187" s="130" customFormat="1" ht="11.25" customHeight="1">
      <c r="A187" s="684"/>
      <c r="B187" s="57"/>
      <c r="C187" s="57"/>
      <c r="D187" s="130"/>
      <c r="K187" s="53"/>
      <c r="L187" s="57"/>
      <c r="M187" s="57"/>
      <c r="N187" s="53"/>
      <c r="O187" s="53"/>
      <c r="P187" s="53"/>
      <c r="Q187" s="53"/>
      <c r="R187" s="57"/>
      <c r="S187" s="53"/>
      <c r="T187" s="53"/>
      <c r="U187" s="685"/>
      <c r="V187" s="53"/>
      <c r="W187" s="53"/>
      <c r="X187" s="53"/>
      <c r="Y187" s="53"/>
      <c r="Z187" s="53"/>
      <c r="AA187" s="56"/>
      <c r="AB187" s="54"/>
      <c r="AC187" s="54"/>
      <c r="AD187" s="54"/>
      <c r="AE187" s="54"/>
    </row>
    <row r="188" s="130" customFormat="1" ht="11.25" customHeight="1">
      <c r="A188" s="684"/>
      <c r="B188" s="57"/>
      <c r="C188" s="57"/>
      <c r="D188" s="130"/>
      <c r="K188" s="53"/>
      <c r="L188" s="57"/>
      <c r="M188" s="57"/>
      <c r="N188" s="53"/>
      <c r="O188" s="53"/>
      <c r="P188" s="53"/>
      <c r="Q188" s="53"/>
      <c r="R188" s="57"/>
      <c r="S188" s="53"/>
      <c r="T188" s="53"/>
      <c r="U188" s="685"/>
      <c r="V188" s="53"/>
      <c r="W188" s="53"/>
      <c r="X188" s="53"/>
      <c r="Y188" s="53"/>
      <c r="Z188" s="53"/>
      <c r="AA188" s="56"/>
      <c r="AB188" s="54"/>
      <c r="AC188" s="54"/>
      <c r="AD188" s="54"/>
      <c r="AE188" s="54"/>
    </row>
    <row r="189" s="130" customFormat="1" ht="11.25" customHeight="1">
      <c r="A189" s="684"/>
      <c r="B189" s="57"/>
      <c r="C189" s="57"/>
      <c r="D189" s="130"/>
      <c r="K189" s="53"/>
      <c r="L189" s="57"/>
      <c r="M189" s="57"/>
      <c r="N189" s="53"/>
      <c r="O189" s="53"/>
      <c r="P189" s="53"/>
      <c r="Q189" s="53"/>
      <c r="R189" s="57"/>
      <c r="S189" s="53"/>
      <c r="T189" s="53"/>
      <c r="U189" s="685"/>
      <c r="V189" s="53"/>
      <c r="W189" s="53"/>
      <c r="X189" s="53"/>
      <c r="Y189" s="53"/>
      <c r="Z189" s="53"/>
      <c r="AA189" s="56"/>
      <c r="AB189" s="54"/>
      <c r="AC189" s="54"/>
      <c r="AD189" s="54"/>
      <c r="AE189" s="54"/>
    </row>
    <row r="190" s="130" customFormat="1" ht="11.25" customHeight="1">
      <c r="A190" s="684"/>
      <c r="B190" s="57"/>
      <c r="C190" s="57"/>
      <c r="D190" s="130"/>
      <c r="K190" s="53"/>
      <c r="L190" s="57"/>
      <c r="M190" s="57"/>
      <c r="N190" s="53"/>
      <c r="O190" s="53"/>
      <c r="P190" s="53"/>
      <c r="Q190" s="53"/>
      <c r="R190" s="57"/>
      <c r="S190" s="53"/>
      <c r="T190" s="53"/>
      <c r="U190" s="685"/>
      <c r="V190" s="53"/>
      <c r="W190" s="53"/>
      <c r="X190" s="53"/>
      <c r="Y190" s="53"/>
      <c r="Z190" s="53"/>
      <c r="AA190" s="56"/>
      <c r="AB190" s="54"/>
      <c r="AC190" s="54"/>
      <c r="AD190" s="54"/>
      <c r="AE190" s="54"/>
    </row>
    <row r="191" s="130" customFormat="1" ht="11.25" customHeight="1">
      <c r="A191" s="684"/>
      <c r="B191" s="57"/>
      <c r="C191" s="57"/>
      <c r="D191" s="130"/>
      <c r="K191" s="53"/>
      <c r="L191" s="57"/>
      <c r="M191" s="57"/>
      <c r="N191" s="53"/>
      <c r="O191" s="53"/>
      <c r="P191" s="53"/>
      <c r="Q191" s="53"/>
      <c r="R191" s="57"/>
      <c r="S191" s="53"/>
      <c r="T191" s="53"/>
      <c r="U191" s="685"/>
      <c r="V191" s="53"/>
      <c r="W191" s="53"/>
      <c r="X191" s="53"/>
      <c r="Y191" s="53"/>
      <c r="Z191" s="53"/>
      <c r="AA191" s="56"/>
      <c r="AB191" s="54"/>
      <c r="AC191" s="54"/>
      <c r="AD191" s="54"/>
      <c r="AE191" s="54"/>
    </row>
    <row r="192" s="130" customFormat="1" ht="11.25" customHeight="1">
      <c r="A192" s="684"/>
      <c r="B192" s="57"/>
      <c r="C192" s="57"/>
      <c r="D192" s="130"/>
      <c r="K192" s="53"/>
      <c r="L192" s="57"/>
      <c r="M192" s="57"/>
      <c r="N192" s="53"/>
      <c r="O192" s="53"/>
      <c r="P192" s="53"/>
      <c r="Q192" s="53"/>
      <c r="R192" s="57"/>
      <c r="S192" s="53"/>
      <c r="T192" s="53"/>
      <c r="U192" s="685"/>
      <c r="V192" s="53"/>
      <c r="W192" s="53"/>
      <c r="X192" s="53"/>
      <c r="Y192" s="53"/>
      <c r="Z192" s="53"/>
      <c r="AA192" s="56"/>
      <c r="AB192" s="54"/>
      <c r="AC192" s="54"/>
      <c r="AD192" s="54"/>
      <c r="AE192" s="54"/>
    </row>
    <row r="193" s="130" customFormat="1" ht="11.25" customHeight="1">
      <c r="A193" s="684"/>
      <c r="B193" s="57"/>
      <c r="C193" s="57"/>
      <c r="D193" s="130"/>
      <c r="K193" s="53"/>
      <c r="L193" s="57"/>
      <c r="M193" s="57"/>
      <c r="N193" s="53"/>
      <c r="O193" s="53"/>
      <c r="P193" s="53"/>
      <c r="Q193" s="53"/>
      <c r="R193" s="57"/>
      <c r="S193" s="53"/>
      <c r="T193" s="53"/>
      <c r="U193" s="685"/>
      <c r="V193" s="53"/>
      <c r="W193" s="53"/>
      <c r="X193" s="53"/>
      <c r="Y193" s="53"/>
      <c r="Z193" s="53"/>
      <c r="AA193" s="56"/>
      <c r="AB193" s="54"/>
      <c r="AC193" s="54"/>
      <c r="AD193" s="54"/>
      <c r="AE193" s="54"/>
    </row>
    <row r="194" s="130" customFormat="1" ht="11.25" customHeight="1">
      <c r="A194" s="684"/>
      <c r="B194" s="57"/>
      <c r="C194" s="57"/>
      <c r="D194" s="130"/>
      <c r="K194" s="53"/>
      <c r="L194" s="57"/>
      <c r="M194" s="57"/>
      <c r="N194" s="53"/>
      <c r="O194" s="53"/>
      <c r="P194" s="53"/>
      <c r="Q194" s="53"/>
      <c r="R194" s="57"/>
      <c r="S194" s="53"/>
      <c r="T194" s="53"/>
      <c r="U194" s="685"/>
      <c r="V194" s="53"/>
      <c r="W194" s="53"/>
      <c r="X194" s="53"/>
      <c r="Y194" s="53"/>
      <c r="Z194" s="53"/>
      <c r="AA194" s="56"/>
      <c r="AB194" s="54"/>
      <c r="AC194" s="54"/>
      <c r="AD194" s="54"/>
      <c r="AE194" s="54"/>
    </row>
    <row r="195" s="130" customFormat="1" ht="11.25" customHeight="1">
      <c r="A195" s="684"/>
      <c r="B195" s="57"/>
      <c r="C195" s="57"/>
      <c r="D195" s="130"/>
      <c r="K195" s="53"/>
      <c r="L195" s="57"/>
      <c r="M195" s="57"/>
      <c r="N195" s="53"/>
      <c r="O195" s="53"/>
      <c r="P195" s="53"/>
      <c r="Q195" s="53"/>
      <c r="R195" s="57"/>
      <c r="S195" s="53"/>
      <c r="T195" s="53"/>
      <c r="U195" s="685"/>
      <c r="V195" s="53"/>
      <c r="W195" s="53"/>
      <c r="X195" s="53"/>
      <c r="Y195" s="53"/>
      <c r="Z195" s="53"/>
      <c r="AA195" s="56"/>
      <c r="AB195" s="54"/>
      <c r="AC195" s="54"/>
      <c r="AD195" s="54"/>
      <c r="AE195" s="54"/>
    </row>
    <row r="199" ht="11.25" customHeight="1">
      <c r="A199" s="750"/>
      <c r="B199" s="50"/>
      <c r="D199" s="50"/>
      <c r="K199" s="50"/>
      <c r="N199" s="50"/>
      <c r="O199" s="50"/>
      <c r="P199" s="50"/>
      <c r="Q199" s="50"/>
      <c r="S199" s="50"/>
      <c r="T199" s="50"/>
      <c r="U199" s="50"/>
      <c r="V199" s="50"/>
      <c r="W199" s="50"/>
      <c r="X199" s="50"/>
      <c r="Y199" s="50"/>
      <c r="Z199" s="50"/>
      <c r="AA199" s="50"/>
      <c r="AB199" s="50"/>
      <c r="AC199" s="50"/>
      <c r="AD199" s="50"/>
      <c r="AE199" s="50"/>
    </row>
    <row r="200" ht="11.25" customHeight="1">
      <c r="A200" s="750"/>
      <c r="B200" s="50"/>
      <c r="D200" s="50"/>
      <c r="K200" s="50"/>
      <c r="N200" s="50"/>
      <c r="O200" s="50"/>
      <c r="P200" s="50"/>
      <c r="Q200" s="50"/>
      <c r="S200" s="50"/>
      <c r="T200" s="50"/>
      <c r="U200" s="50"/>
      <c r="V200" s="50"/>
      <c r="W200" s="50"/>
      <c r="X200" s="50"/>
      <c r="Y200" s="50"/>
      <c r="Z200" s="50"/>
      <c r="AA200" s="50"/>
      <c r="AB200" s="50"/>
      <c r="AC200" s="50"/>
      <c r="AD200" s="50"/>
      <c r="AE200" s="50"/>
    </row>
    <row r="201" ht="11.25" customHeight="1">
      <c r="A201" s="750"/>
      <c r="B201" s="50"/>
      <c r="D201" s="50"/>
      <c r="K201" s="50"/>
      <c r="N201" s="50"/>
      <c r="O201" s="50"/>
      <c r="P201" s="50"/>
      <c r="Q201" s="50"/>
      <c r="S201" s="50"/>
      <c r="T201" s="50"/>
      <c r="U201" s="50"/>
      <c r="V201" s="50"/>
      <c r="W201" s="50"/>
      <c r="X201" s="50"/>
      <c r="Y201" s="50"/>
      <c r="Z201" s="50"/>
      <c r="AA201" s="50"/>
      <c r="AB201" s="50"/>
      <c r="AC201" s="50"/>
      <c r="AD201" s="50"/>
      <c r="AE201" s="50"/>
    </row>
    <row r="202" ht="11.25" customHeight="1">
      <c r="A202" s="750"/>
      <c r="B202" s="50"/>
      <c r="D202" s="50"/>
      <c r="K202" s="50"/>
      <c r="N202" s="50"/>
      <c r="O202" s="50"/>
      <c r="P202" s="50"/>
      <c r="Q202" s="50"/>
      <c r="S202" s="50"/>
      <c r="T202" s="50"/>
      <c r="U202" s="50"/>
      <c r="V202" s="50"/>
      <c r="W202" s="50"/>
      <c r="X202" s="50"/>
      <c r="Y202" s="50"/>
      <c r="Z202" s="50"/>
      <c r="AA202" s="50"/>
      <c r="AB202" s="50"/>
      <c r="AC202" s="50"/>
      <c r="AD202" s="50"/>
      <c r="AE202" s="50"/>
    </row>
    <row r="203" ht="11.25" customHeight="1">
      <c r="A203" s="750"/>
      <c r="B203" s="50"/>
      <c r="D203" s="50"/>
      <c r="K203" s="50"/>
      <c r="N203" s="50"/>
      <c r="O203" s="50"/>
      <c r="P203" s="50"/>
      <c r="Q203" s="50"/>
      <c r="S203" s="50"/>
      <c r="T203" s="50"/>
      <c r="U203" s="50"/>
      <c r="V203" s="50"/>
      <c r="W203" s="50"/>
      <c r="X203" s="50"/>
      <c r="Y203" s="50"/>
      <c r="Z203" s="50"/>
      <c r="AA203" s="50"/>
      <c r="AB203" s="50"/>
      <c r="AC203" s="50"/>
      <c r="AD203" s="50"/>
      <c r="AE203" s="50"/>
    </row>
    <row r="204" ht="11.25" customHeight="1">
      <c r="A204" s="750"/>
      <c r="B204" s="50"/>
      <c r="D204" s="50"/>
      <c r="K204" s="50"/>
      <c r="N204" s="50"/>
      <c r="O204" s="50"/>
      <c r="P204" s="50"/>
      <c r="Q204" s="50"/>
      <c r="S204" s="50"/>
      <c r="T204" s="50"/>
      <c r="U204" s="50"/>
      <c r="V204" s="50"/>
      <c r="W204" s="50"/>
      <c r="X204" s="50"/>
      <c r="Y204" s="50"/>
      <c r="Z204" s="50"/>
      <c r="AA204" s="50"/>
      <c r="AB204" s="50"/>
      <c r="AC204" s="50"/>
      <c r="AD204" s="50"/>
      <c r="AE204" s="50"/>
    </row>
    <row r="205" ht="11.25" customHeight="1">
      <c r="A205" s="750"/>
      <c r="B205" s="50"/>
      <c r="D205" s="50"/>
      <c r="K205" s="50"/>
      <c r="N205" s="50"/>
      <c r="O205" s="50"/>
      <c r="P205" s="50"/>
      <c r="Q205" s="50"/>
      <c r="S205" s="50"/>
      <c r="T205" s="50"/>
      <c r="U205" s="50"/>
      <c r="V205" s="50"/>
      <c r="W205" s="50"/>
      <c r="X205" s="50"/>
      <c r="Y205" s="50"/>
      <c r="Z205" s="50"/>
      <c r="AA205" s="50"/>
      <c r="AB205" s="50"/>
      <c r="AC205" s="50"/>
      <c r="AD205" s="50"/>
      <c r="AE205" s="50"/>
    </row>
    <row r="206" ht="11.25" customHeight="1">
      <c r="A206" s="750"/>
      <c r="B206" s="50"/>
      <c r="D206" s="50"/>
      <c r="K206" s="50"/>
      <c r="N206" s="50"/>
      <c r="O206" s="50"/>
      <c r="P206" s="50"/>
      <c r="Q206" s="50"/>
      <c r="S206" s="50"/>
      <c r="T206" s="50"/>
      <c r="U206" s="50"/>
      <c r="V206" s="50"/>
      <c r="W206" s="50"/>
      <c r="X206" s="50"/>
      <c r="Y206" s="50"/>
      <c r="Z206" s="50"/>
      <c r="AA206" s="50"/>
      <c r="AB206" s="50"/>
      <c r="AC206" s="50"/>
      <c r="AD206" s="50"/>
      <c r="AE206" s="50"/>
    </row>
    <row r="207" ht="11.25" customHeight="1">
      <c r="A207" s="750"/>
      <c r="B207" s="50"/>
      <c r="D207" s="50"/>
      <c r="K207" s="50"/>
      <c r="N207" s="50"/>
      <c r="O207" s="50"/>
      <c r="P207" s="50"/>
      <c r="Q207" s="50"/>
      <c r="S207" s="50"/>
      <c r="T207" s="50"/>
      <c r="U207" s="50"/>
      <c r="V207" s="50"/>
      <c r="W207" s="50"/>
      <c r="X207" s="50"/>
      <c r="Y207" s="50"/>
      <c r="Z207" s="50"/>
      <c r="AA207" s="50"/>
      <c r="AB207" s="50"/>
      <c r="AC207" s="50"/>
      <c r="AD207" s="50"/>
      <c r="AE207" s="50"/>
    </row>
    <row r="208" ht="11.25" customHeight="1">
      <c r="A208" s="750"/>
      <c r="B208" s="50"/>
      <c r="D208" s="50"/>
      <c r="K208" s="50"/>
      <c r="N208" s="50"/>
      <c r="O208" s="50"/>
      <c r="P208" s="50"/>
      <c r="Q208" s="50"/>
      <c r="S208" s="50"/>
      <c r="T208" s="50"/>
      <c r="U208" s="50"/>
      <c r="V208" s="50"/>
      <c r="W208" s="50"/>
      <c r="X208" s="50"/>
      <c r="Y208" s="50"/>
      <c r="Z208" s="50"/>
      <c r="AA208" s="50"/>
      <c r="AB208" s="50"/>
      <c r="AC208" s="50"/>
      <c r="AD208" s="50"/>
      <c r="AE208" s="50"/>
    </row>
    <row r="209" ht="11.25" customHeight="1">
      <c r="A209" s="750"/>
      <c r="B209" s="50"/>
      <c r="D209" s="50"/>
      <c r="K209" s="50"/>
      <c r="N209" s="50"/>
      <c r="O209" s="50"/>
      <c r="P209" s="50"/>
      <c r="Q209" s="50"/>
      <c r="S209" s="50"/>
      <c r="T209" s="50"/>
      <c r="U209" s="50"/>
      <c r="V209" s="50"/>
      <c r="W209" s="50"/>
      <c r="X209" s="50"/>
      <c r="Y209" s="50"/>
      <c r="Z209" s="50"/>
      <c r="AA209" s="50"/>
      <c r="AB209" s="50"/>
      <c r="AC209" s="50"/>
      <c r="AD209" s="50"/>
      <c r="AE209" s="50"/>
    </row>
  </sheetData>
  <sheetProtection autoFilter="0" deleteColumns="0" deleteRows="0" formatCells="1" formatColumns="0" formatRows="0" insertColumns="1" insertHyperlinks="1" insertRows="0" pivotTables="1" selectLockedCells="0" selectUnlockedCells="0" sheet="0" sort="0"/>
  <mergeCells count="9">
    <mergeCell ref="E6:I6"/>
    <mergeCell ref="E7:I7"/>
    <mergeCell ref="F10:G10"/>
    <mergeCell ref="J10:J14"/>
    <mergeCell ref="F11:G11"/>
    <mergeCell ref="F12:G12"/>
    <mergeCell ref="E13:G13"/>
    <mergeCell ref="F39:J39"/>
    <mergeCell ref="F40:J40"/>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AE00A1-008B-484F-9B6D-0021006F004C}"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H32:I34</xm:sqref>
        </x14:dataValidation>
        <x14:dataValidation xr:uid="{0004008F-000E-43B2-ABF2-00770019008A}"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H30:I30</xm:sqref>
        </x14:dataValidation>
        <x14:dataValidation xr:uid="{0050005C-00FD-46EE-9285-008E00CE00A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H35:I35</xm:sqref>
        </x14:dataValidation>
        <x14:dataValidation xr:uid="{000C000A-002C-433B-863E-00E00091002E}"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H31:I31 H2:I2 H15:I15 H17:I27 H36:I37</xm:sqref>
        </x14:dataValidation>
        <x14:dataValidation xr:uid="{00540010-00F5-45A6-BF99-001700AA0026}"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H28:I28</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C2" zoomScale="90" workbookViewId="0">
      <selection activeCell="A1" activeCellId="0" sqref="A1"/>
    </sheetView>
  </sheetViews>
  <sheetFormatPr defaultColWidth="10.57421875" defaultRowHeight="11.25" customHeight="1"/>
  <cols>
    <col customWidth="1" hidden="1" min="1" max="1" style="790" width="9.140625"/>
    <col customWidth="1" hidden="1" min="2" max="2" style="57" width="3.57421875"/>
    <col customWidth="1" min="3" max="3" style="50" width="3.7109375"/>
    <col customWidth="1" min="4" max="4" style="50" width="7.7109375"/>
    <col customWidth="1" min="5" max="5" style="50" width="69.8515625"/>
    <col customWidth="1" min="6" max="6" style="50" width="11.140625"/>
    <col customWidth="1" hidden="1" min="7" max="8" style="50" width="44.00390625"/>
    <col customWidth="1" min="9" max="10" style="50" width="44.00390625"/>
    <col customWidth="1" min="11" max="11" style="50" width="74.00390625"/>
    <col customWidth="1" min="12" max="12" style="50" width="3.7109375"/>
    <col min="13" max="23" style="50" width="10.57421875"/>
  </cols>
  <sheetData>
    <row r="1" s="53" customFormat="1" ht="11.25" hidden="1" customHeight="1">
      <c r="A1" s="790"/>
      <c r="B1" s="57"/>
      <c r="G1" s="53">
        <v>4</v>
      </c>
      <c r="I1" s="53">
        <v>4</v>
      </c>
      <c r="K1" s="53">
        <v>5</v>
      </c>
    </row>
    <row r="2" ht="3" customHeight="1"/>
    <row r="3" ht="75" customHeight="1">
      <c r="D3" s="186"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7"/>
      <c r="F3" s="188"/>
    </row>
    <row r="4" s="50" customFormat="1" ht="20.25" customHeight="1">
      <c r="A4" s="790"/>
      <c r="B4" s="57"/>
      <c r="D4" s="407" t="str">
        <f>IF(org=0,"Не определено",org)</f>
        <v xml:space="preserve">филиал ПАО "ОГК-2" - Адлерская ТЭС</v>
      </c>
      <c r="E4" s="408"/>
      <c r="F4" s="409"/>
    </row>
    <row r="5" ht="11.25" customHeight="1">
      <c r="C5" s="50"/>
      <c r="D5" s="50"/>
      <c r="E5" s="50"/>
      <c r="F5" s="50"/>
      <c r="G5" s="50"/>
      <c r="H5" s="341"/>
      <c r="I5" s="50"/>
      <c r="J5" s="341"/>
      <c r="K5" s="50"/>
    </row>
    <row r="6" ht="0.75" customHeight="1">
      <c r="C6" s="50"/>
      <c r="D6" s="50"/>
      <c r="E6" s="51"/>
      <c r="F6" s="754"/>
      <c r="G6" s="791"/>
      <c r="H6" s="791"/>
      <c r="I6" s="791" t="s">
        <v>118</v>
      </c>
      <c r="J6" s="791"/>
    </row>
    <row r="7" ht="11.25" customHeight="1">
      <c r="D7" s="700"/>
      <c r="E7" s="701" t="s">
        <v>107</v>
      </c>
      <c r="F7" s="702"/>
      <c r="G7" s="703" t="str">
        <f>IF(G6="","",INDEX(DIFFERENTIATION_UNMERGE_VD,MATCH(G6,DIFFERENTIATION_ID_DIFF,0)))</f>
        <v/>
      </c>
      <c r="H7" s="792"/>
      <c r="I7" s="703" t="str">
        <f>IF(I6="","",INDEX(DIFFERENTIATION_UNMERGE_VD,MATCH(I6,DIFFERENTIATION_ID_DIFF,0)))</f>
        <v xml:space="preserve">Сбыт. Тепловая энергия</v>
      </c>
      <c r="J7" s="792"/>
      <c r="K7" s="306"/>
      <c r="L7" s="50"/>
    </row>
    <row r="8" ht="11.25" customHeight="1">
      <c r="A8" s="790"/>
      <c r="D8" s="700"/>
      <c r="E8" s="701" t="s">
        <v>546</v>
      </c>
      <c r="F8" s="702"/>
      <c r="G8" s="703" t="str">
        <f>IF(G6="","",INDEX(DIFFERENTIATION_UNMERGE_AREA,MATCH(G6,DIFFERENTIATION_ID_DIFF,0)))</f>
        <v/>
      </c>
      <c r="H8" s="792"/>
      <c r="I8" s="703" t="str">
        <f>IF(I6="","",INDEX(DIFFERENTIATION_UNMERGE_AREA,MATCH(I6,DIFFERENTIATION_ID_DIFF,0)))</f>
        <v xml:space="preserve">Территория 1</v>
      </c>
      <c r="J8" s="792"/>
      <c r="K8" s="305"/>
      <c r="L8" s="50"/>
    </row>
    <row r="9" ht="11.25" customHeight="1">
      <c r="A9" s="790"/>
      <c r="D9" s="700"/>
      <c r="E9" s="701" t="s">
        <v>547</v>
      </c>
      <c r="F9" s="702"/>
      <c r="G9" s="703" t="str">
        <f>IF(G6="","",INDEX(DIFFERENTIATION_UNMERGE_SYSTEM,MATCH(G6,DIFFERENTIATION_ID_DIFF,0)))</f>
        <v/>
      </c>
      <c r="H9" s="792"/>
      <c r="I9" s="703" t="str">
        <f>IF(I6="","",INDEX(DIFFERENTIATION_UNMERGE_SYSTEM,MATCH(I6,DIFFERENTIATION_ID_DIFF,0)))</f>
        <v xml:space="preserve">без дифференциации</v>
      </c>
      <c r="J9" s="792"/>
      <c r="K9" s="305"/>
      <c r="L9" s="50"/>
    </row>
    <row r="10" s="50" customFormat="1" ht="11.25" customHeight="1">
      <c r="A10" s="790"/>
      <c r="B10" s="57"/>
      <c r="D10" s="73" t="s">
        <v>288</v>
      </c>
      <c r="E10" s="144"/>
      <c r="F10" s="144"/>
      <c r="G10" s="144"/>
      <c r="H10" s="144"/>
      <c r="I10" s="144"/>
      <c r="J10" s="72"/>
      <c r="K10" s="305"/>
      <c r="L10" s="50"/>
    </row>
    <row r="11" s="50" customFormat="1" ht="22.5" customHeight="1">
      <c r="A11" s="572"/>
      <c r="B11" s="572"/>
      <c r="C11" s="394"/>
      <c r="D11" s="156" t="s">
        <v>85</v>
      </c>
      <c r="E11" s="156" t="s">
        <v>703</v>
      </c>
      <c r="F11" s="156" t="s">
        <v>548</v>
      </c>
      <c r="G11" s="156" t="s">
        <v>291</v>
      </c>
      <c r="H11" s="156" t="s">
        <v>380</v>
      </c>
      <c r="I11" s="156" t="s">
        <v>291</v>
      </c>
      <c r="J11" s="73" t="s">
        <v>380</v>
      </c>
      <c r="K11" s="161"/>
      <c r="L11" s="572"/>
    </row>
    <row r="12" s="57" customFormat="1" ht="10.5" customHeight="1">
      <c r="A12" s="529"/>
      <c r="D12" s="529" t="s">
        <v>111</v>
      </c>
      <c r="E12" s="529" t="s">
        <v>99</v>
      </c>
      <c r="F12" s="529" t="s">
        <v>87</v>
      </c>
      <c r="G12" s="131" t="str">
        <f>G1&amp;".1"</f>
        <v>4.1</v>
      </c>
      <c r="H12" s="131" t="str">
        <f>G1&amp;".2"</f>
        <v>4.2</v>
      </c>
      <c r="I12" s="131" t="str">
        <f>I1&amp;".1"</f>
        <v>4.1</v>
      </c>
      <c r="J12" s="131" t="str">
        <f>I1&amp;".2"</f>
        <v>4.2</v>
      </c>
      <c r="K12" s="131"/>
    </row>
    <row r="13" ht="22.5" customHeight="1">
      <c r="A13" s="793" t="s">
        <v>704</v>
      </c>
      <c r="D13" s="219" t="s">
        <v>111</v>
      </c>
      <c r="E13" s="312" t="s">
        <v>705</v>
      </c>
      <c r="F13" s="145" t="s">
        <v>706</v>
      </c>
      <c r="G13" s="706"/>
      <c r="H13" s="794"/>
      <c r="I13" s="706"/>
      <c r="J13" s="794"/>
      <c r="K13" s="484" t="s">
        <v>707</v>
      </c>
      <c r="L13" s="795"/>
    </row>
    <row r="14" ht="22.5" customHeight="1">
      <c r="A14" s="793"/>
      <c r="D14" s="219" t="s">
        <v>99</v>
      </c>
      <c r="E14" s="312" t="s">
        <v>708</v>
      </c>
      <c r="F14" s="145" t="s">
        <v>709</v>
      </c>
      <c r="G14" s="706"/>
      <c r="H14" s="794"/>
      <c r="I14" s="706"/>
      <c r="J14" s="794"/>
      <c r="K14" s="484" t="s">
        <v>710</v>
      </c>
      <c r="L14" s="795"/>
    </row>
    <row r="15" s="50" customFormat="1" ht="78.75" customHeight="1">
      <c r="A15" s="793"/>
      <c r="B15" s="57"/>
      <c r="D15" s="219" t="s">
        <v>87</v>
      </c>
      <c r="E15" s="312" t="s">
        <v>711</v>
      </c>
      <c r="F15" s="156" t="s">
        <v>294</v>
      </c>
      <c r="G15" s="156" t="s">
        <v>294</v>
      </c>
      <c r="H15" s="383"/>
      <c r="I15" s="156" t="s">
        <v>294</v>
      </c>
      <c r="J15" s="383"/>
      <c r="K15" s="484" t="s">
        <v>712</v>
      </c>
      <c r="L15" s="795"/>
    </row>
    <row r="16" s="50" customFormat="1" ht="22.5" customHeight="1">
      <c r="A16" s="793"/>
      <c r="B16" s="57"/>
      <c r="D16" s="219" t="s">
        <v>314</v>
      </c>
      <c r="E16" s="655" t="s">
        <v>713</v>
      </c>
      <c r="F16" s="156" t="s">
        <v>714</v>
      </c>
      <c r="G16" s="796"/>
      <c r="H16" s="383"/>
      <c r="I16" s="796"/>
      <c r="J16" s="383"/>
      <c r="K16" s="484"/>
      <c r="L16" s="795"/>
    </row>
    <row r="17" s="50" customFormat="1" ht="22.5" customHeight="1">
      <c r="A17" s="793"/>
      <c r="B17" s="57"/>
      <c r="D17" s="219" t="s">
        <v>322</v>
      </c>
      <c r="E17" s="655" t="s">
        <v>715</v>
      </c>
      <c r="F17" s="156" t="s">
        <v>716</v>
      </c>
      <c r="G17" s="796"/>
      <c r="H17" s="383"/>
      <c r="I17" s="796"/>
      <c r="J17" s="383"/>
      <c r="K17" s="484"/>
      <c r="L17" s="795"/>
    </row>
    <row r="18" s="50" customFormat="1" ht="33.75" customHeight="1">
      <c r="A18" s="793"/>
      <c r="B18" s="57"/>
      <c r="D18" s="219" t="s">
        <v>324</v>
      </c>
      <c r="E18" s="655" t="s">
        <v>717</v>
      </c>
      <c r="F18" s="156" t="s">
        <v>553</v>
      </c>
      <c r="G18" s="797"/>
      <c r="H18" s="383"/>
      <c r="I18" s="797"/>
      <c r="J18" s="383"/>
      <c r="K18" s="484"/>
      <c r="L18" s="795"/>
    </row>
    <row r="19" ht="101.25" customHeight="1">
      <c r="A19" s="793"/>
      <c r="D19" s="219" t="s">
        <v>88</v>
      </c>
      <c r="E19" s="312" t="s">
        <v>718</v>
      </c>
      <c r="F19" s="145" t="s">
        <v>528</v>
      </c>
      <c r="G19" s="447"/>
      <c r="H19" s="794"/>
      <c r="I19" s="447"/>
      <c r="J19" s="794"/>
      <c r="K19" s="484" t="s">
        <v>719</v>
      </c>
      <c r="L19" s="795"/>
    </row>
    <row r="20" s="50" customFormat="1" ht="18.75" customHeight="1">
      <c r="A20" s="793"/>
      <c r="C20" s="127"/>
      <c r="D20" s="219" t="s">
        <v>649</v>
      </c>
      <c r="E20" s="655" t="s">
        <v>720</v>
      </c>
      <c r="F20" s="156" t="s">
        <v>294</v>
      </c>
      <c r="G20" s="156" t="s">
        <v>294</v>
      </c>
      <c r="H20" s="306" t="s">
        <v>294</v>
      </c>
      <c r="I20" s="156" t="s">
        <v>294</v>
      </c>
      <c r="J20" s="306" t="s">
        <v>294</v>
      </c>
      <c r="K20" s="73"/>
      <c r="L20" s="795"/>
      <c r="W20" s="114"/>
    </row>
    <row r="21" s="50" customFormat="1" ht="33.75" customHeight="1">
      <c r="A21" s="793"/>
      <c r="C21" s="127"/>
      <c r="D21" s="219" t="s">
        <v>652</v>
      </c>
      <c r="E21" s="722" t="s">
        <v>721</v>
      </c>
      <c r="F21" s="156" t="s">
        <v>722</v>
      </c>
      <c r="G21" s="798"/>
      <c r="H21" s="383"/>
      <c r="I21" s="798"/>
      <c r="J21" s="383"/>
      <c r="K21" s="73"/>
      <c r="L21" s="795"/>
      <c r="W21" s="114"/>
    </row>
    <row r="22" s="50" customFormat="1" ht="33.75" customHeight="1">
      <c r="A22" s="793"/>
      <c r="C22" s="127"/>
      <c r="D22" s="219" t="s">
        <v>655</v>
      </c>
      <c r="E22" s="722" t="s">
        <v>723</v>
      </c>
      <c r="F22" s="156" t="s">
        <v>724</v>
      </c>
      <c r="G22" s="798"/>
      <c r="H22" s="383"/>
      <c r="I22" s="798"/>
      <c r="J22" s="383"/>
      <c r="K22" s="73"/>
      <c r="L22" s="795"/>
      <c r="W22" s="114"/>
    </row>
    <row r="23" s="50" customFormat="1" ht="22.5" customHeight="1">
      <c r="A23" s="793"/>
      <c r="C23" s="127"/>
      <c r="D23" s="219" t="s">
        <v>692</v>
      </c>
      <c r="E23" s="655" t="s">
        <v>725</v>
      </c>
      <c r="F23" s="156" t="s">
        <v>294</v>
      </c>
      <c r="G23" s="156" t="s">
        <v>294</v>
      </c>
      <c r="H23" s="306" t="s">
        <v>294</v>
      </c>
      <c r="I23" s="156" t="s">
        <v>294</v>
      </c>
      <c r="J23" s="306" t="s">
        <v>294</v>
      </c>
      <c r="K23" s="73"/>
      <c r="L23" s="795"/>
      <c r="W23" s="114"/>
    </row>
    <row r="24" s="50" customFormat="1" ht="22.5" customHeight="1">
      <c r="A24" s="793"/>
      <c r="C24" s="127"/>
      <c r="D24" s="219" t="s">
        <v>726</v>
      </c>
      <c r="E24" s="722" t="s">
        <v>727</v>
      </c>
      <c r="F24" s="156" t="s">
        <v>728</v>
      </c>
      <c r="G24" s="798"/>
      <c r="H24" s="661"/>
      <c r="I24" s="798"/>
      <c r="J24" s="661"/>
      <c r="K24" s="73"/>
      <c r="L24" s="795"/>
      <c r="W24" s="114"/>
    </row>
    <row r="25" s="50" customFormat="1" ht="22.5" customHeight="1">
      <c r="A25" s="793"/>
      <c r="C25" s="127"/>
      <c r="D25" s="219" t="s">
        <v>729</v>
      </c>
      <c r="E25" s="722" t="s">
        <v>730</v>
      </c>
      <c r="F25" s="156" t="s">
        <v>294</v>
      </c>
      <c r="G25" s="156" t="s">
        <v>294</v>
      </c>
      <c r="H25" s="306" t="s">
        <v>294</v>
      </c>
      <c r="I25" s="156" t="s">
        <v>294</v>
      </c>
      <c r="J25" s="306" t="s">
        <v>294</v>
      </c>
      <c r="K25" s="73"/>
      <c r="L25" s="795"/>
      <c r="W25" s="114"/>
    </row>
    <row r="26" s="50" customFormat="1" ht="18.75" customHeight="1">
      <c r="A26" s="793"/>
      <c r="C26" s="127"/>
      <c r="D26" s="219" t="s">
        <v>731</v>
      </c>
      <c r="E26" s="691" t="s">
        <v>732</v>
      </c>
      <c r="F26" s="156" t="s">
        <v>733</v>
      </c>
      <c r="G26" s="797"/>
      <c r="H26" s="661"/>
      <c r="I26" s="797"/>
      <c r="J26" s="661"/>
      <c r="K26" s="73"/>
      <c r="L26" s="795"/>
      <c r="W26" s="114"/>
    </row>
    <row r="27" s="50" customFormat="1" ht="18.75" customHeight="1">
      <c r="A27" s="793"/>
      <c r="C27" s="127"/>
      <c r="D27" s="219" t="s">
        <v>734</v>
      </c>
      <c r="E27" s="691" t="s">
        <v>735</v>
      </c>
      <c r="F27" s="156" t="s">
        <v>736</v>
      </c>
      <c r="G27" s="797"/>
      <c r="H27" s="661"/>
      <c r="I27" s="797"/>
      <c r="J27" s="661"/>
      <c r="K27" s="73"/>
      <c r="L27" s="795"/>
      <c r="W27" s="114"/>
    </row>
    <row r="28" s="50" customFormat="1" ht="18.75" customHeight="1">
      <c r="A28" s="793"/>
      <c r="C28" s="127"/>
      <c r="D28" s="219" t="s">
        <v>737</v>
      </c>
      <c r="E28" s="722" t="s">
        <v>738</v>
      </c>
      <c r="F28" s="156" t="s">
        <v>294</v>
      </c>
      <c r="G28" s="156" t="s">
        <v>294</v>
      </c>
      <c r="H28" s="306" t="s">
        <v>294</v>
      </c>
      <c r="I28" s="156" t="s">
        <v>294</v>
      </c>
      <c r="J28" s="306" t="s">
        <v>294</v>
      </c>
      <c r="K28" s="73"/>
      <c r="L28" s="795"/>
      <c r="W28" s="114"/>
    </row>
    <row r="29" s="50" customFormat="1" ht="18.75" customHeight="1">
      <c r="A29" s="793"/>
      <c r="C29" s="127"/>
      <c r="D29" s="219" t="s">
        <v>739</v>
      </c>
      <c r="E29" s="691" t="s">
        <v>732</v>
      </c>
      <c r="F29" s="156" t="s">
        <v>740</v>
      </c>
      <c r="G29" s="797"/>
      <c r="H29" s="661"/>
      <c r="I29" s="797"/>
      <c r="J29" s="661"/>
      <c r="K29" s="73"/>
      <c r="L29" s="795"/>
      <c r="W29" s="114"/>
    </row>
    <row r="30" s="50" customFormat="1" ht="18.75" customHeight="1">
      <c r="A30" s="793"/>
      <c r="C30" s="127"/>
      <c r="D30" s="219" t="s">
        <v>741</v>
      </c>
      <c r="E30" s="691" t="s">
        <v>742</v>
      </c>
      <c r="F30" s="156" t="s">
        <v>743</v>
      </c>
      <c r="G30" s="797"/>
      <c r="H30" s="661"/>
      <c r="I30" s="797"/>
      <c r="J30" s="661"/>
      <c r="K30" s="73"/>
      <c r="L30" s="795"/>
      <c r="W30" s="114"/>
    </row>
    <row r="31" ht="126.75" customHeight="1">
      <c r="A31" s="793"/>
      <c r="D31" s="219" t="s">
        <v>112</v>
      </c>
      <c r="E31" s="312" t="s">
        <v>744</v>
      </c>
      <c r="F31" s="145" t="s">
        <v>540</v>
      </c>
      <c r="G31" s="706"/>
      <c r="H31" s="794"/>
      <c r="I31" s="706"/>
      <c r="J31" s="794"/>
      <c r="K31" s="484" t="s">
        <v>745</v>
      </c>
      <c r="L31" s="795"/>
    </row>
    <row r="32" ht="56.25" customHeight="1">
      <c r="A32" s="793"/>
      <c r="D32" s="219" t="s">
        <v>89</v>
      </c>
      <c r="E32" s="312" t="s">
        <v>746</v>
      </c>
      <c r="F32" s="219" t="s">
        <v>716</v>
      </c>
      <c r="G32" s="706"/>
      <c r="H32" s="794"/>
      <c r="I32" s="706"/>
      <c r="J32" s="794"/>
      <c r="K32" s="484" t="s">
        <v>747</v>
      </c>
      <c r="L32" s="795"/>
    </row>
    <row r="33" ht="11.25" customHeight="1">
      <c r="A33" s="793"/>
      <c r="E33" s="476"/>
      <c r="F33" s="182"/>
      <c r="G33" s="182"/>
      <c r="H33" s="182"/>
      <c r="I33" s="182"/>
      <c r="J33" s="182"/>
      <c r="K33" s="182"/>
    </row>
    <row r="34" ht="12.75" customHeight="1">
      <c r="A34" s="793"/>
      <c r="D34" s="394">
        <v>1</v>
      </c>
      <c r="E34" s="799" t="s">
        <v>748</v>
      </c>
    </row>
    <row r="35" ht="11.25" customHeight="1">
      <c r="A35" s="793"/>
      <c r="D35" s="394"/>
      <c r="E35" s="799" t="s">
        <v>749</v>
      </c>
    </row>
    <row r="36" s="50" customFormat="1" ht="11.25" customHeight="1">
      <c r="A36" s="790"/>
      <c r="B36" s="57"/>
      <c r="D36" s="394"/>
      <c r="E36" s="799"/>
    </row>
    <row r="37" s="50" customFormat="1" ht="22.5" hidden="1" customHeight="1">
      <c r="A37" s="793" t="s">
        <v>750</v>
      </c>
      <c r="B37" s="57"/>
      <c r="D37" s="219">
        <v>1</v>
      </c>
      <c r="E37" s="312" t="s">
        <v>751</v>
      </c>
      <c r="F37" s="145" t="s">
        <v>706</v>
      </c>
      <c r="G37" s="706"/>
      <c r="H37" s="800"/>
      <c r="I37" s="706"/>
      <c r="J37" s="800"/>
      <c r="K37" s="484" t="s">
        <v>752</v>
      </c>
    </row>
    <row r="38" s="50" customFormat="1" ht="22.5" hidden="1" customHeight="1">
      <c r="A38" s="793"/>
      <c r="B38" s="57"/>
      <c r="D38" s="801" t="s">
        <v>99</v>
      </c>
      <c r="E38" s="802" t="s">
        <v>753</v>
      </c>
      <c r="F38" s="803" t="s">
        <v>528</v>
      </c>
      <c r="G38" s="803" t="s">
        <v>528</v>
      </c>
      <c r="H38" s="804"/>
      <c r="I38" s="803" t="s">
        <v>528</v>
      </c>
      <c r="J38" s="804"/>
      <c r="K38" s="553"/>
    </row>
    <row r="39" s="50" customFormat="1" ht="33.75" hidden="1" customHeight="1">
      <c r="A39" s="793"/>
      <c r="B39" s="57"/>
      <c r="D39" s="805" t="s">
        <v>607</v>
      </c>
      <c r="E39" s="806" t="s">
        <v>754</v>
      </c>
      <c r="F39" s="145" t="s">
        <v>755</v>
      </c>
      <c r="G39" s="807"/>
      <c r="H39" s="808"/>
      <c r="I39" s="807"/>
      <c r="J39" s="808"/>
      <c r="K39" s="484" t="s">
        <v>756</v>
      </c>
    </row>
    <row r="40" s="50" customFormat="1" ht="33.75" hidden="1" customHeight="1">
      <c r="A40" s="793"/>
      <c r="B40" s="57"/>
      <c r="D40" s="805" t="s">
        <v>610</v>
      </c>
      <c r="E40" s="806" t="s">
        <v>757</v>
      </c>
      <c r="F40" s="809" t="s">
        <v>758</v>
      </c>
      <c r="G40" s="810"/>
      <c r="H40" s="808"/>
      <c r="I40" s="810"/>
      <c r="J40" s="808"/>
      <c r="K40" s="484" t="s">
        <v>759</v>
      </c>
    </row>
    <row r="41" s="50" customFormat="1" ht="22.5" hidden="1" customHeight="1">
      <c r="A41" s="793"/>
      <c r="B41" s="57"/>
      <c r="D41" s="805" t="s">
        <v>87</v>
      </c>
      <c r="E41" s="811" t="s">
        <v>760</v>
      </c>
      <c r="F41" s="145" t="s">
        <v>528</v>
      </c>
      <c r="G41" s="145" t="s">
        <v>528</v>
      </c>
      <c r="H41" s="812"/>
      <c r="I41" s="145" t="s">
        <v>528</v>
      </c>
      <c r="J41" s="812"/>
      <c r="K41" s="557"/>
    </row>
    <row r="42" s="50" customFormat="1" ht="45" hidden="1" customHeight="1">
      <c r="A42" s="793"/>
      <c r="B42" s="57"/>
      <c r="D42" s="805" t="s">
        <v>314</v>
      </c>
      <c r="E42" s="806" t="s">
        <v>761</v>
      </c>
      <c r="F42" s="145" t="s">
        <v>540</v>
      </c>
      <c r="G42" s="706"/>
      <c r="H42" s="812"/>
      <c r="I42" s="706"/>
      <c r="J42" s="812"/>
      <c r="K42" s="557" t="s">
        <v>762</v>
      </c>
    </row>
    <row r="43" s="50" customFormat="1" ht="45" hidden="1" customHeight="1">
      <c r="A43" s="793"/>
      <c r="B43" s="57"/>
      <c r="D43" s="805" t="s">
        <v>322</v>
      </c>
      <c r="E43" s="813" t="s">
        <v>763</v>
      </c>
      <c r="F43" s="814" t="s">
        <v>540</v>
      </c>
      <c r="G43" s="740"/>
      <c r="H43" s="808"/>
      <c r="I43" s="740"/>
      <c r="J43" s="808"/>
      <c r="K43" s="557" t="s">
        <v>764</v>
      </c>
    </row>
    <row r="44" s="50" customFormat="1" ht="11.25" hidden="1" customHeight="1">
      <c r="A44" s="793"/>
      <c r="B44" s="57"/>
      <c r="D44" s="805" t="s">
        <v>88</v>
      </c>
      <c r="E44" s="815" t="s">
        <v>765</v>
      </c>
      <c r="F44" s="145" t="s">
        <v>755</v>
      </c>
      <c r="G44" s="807"/>
      <c r="H44" s="808"/>
      <c r="I44" s="807"/>
      <c r="J44" s="808"/>
      <c r="K44" s="484"/>
    </row>
    <row r="45" s="50" customFormat="1" ht="11.25" hidden="1" customHeight="1">
      <c r="A45" s="793"/>
      <c r="B45" s="57"/>
      <c r="D45" s="805" t="s">
        <v>649</v>
      </c>
      <c r="E45" s="813" t="s">
        <v>766</v>
      </c>
      <c r="F45" s="145" t="s">
        <v>755</v>
      </c>
      <c r="G45" s="807"/>
      <c r="H45" s="808"/>
      <c r="I45" s="807"/>
      <c r="J45" s="808"/>
      <c r="K45" s="484"/>
    </row>
    <row r="46" s="50" customFormat="1" ht="11.25" hidden="1" customHeight="1">
      <c r="A46" s="793"/>
      <c r="B46" s="57"/>
      <c r="D46" s="805" t="s">
        <v>692</v>
      </c>
      <c r="E46" s="813" t="s">
        <v>767</v>
      </c>
      <c r="F46" s="145" t="s">
        <v>755</v>
      </c>
      <c r="G46" s="807"/>
      <c r="H46" s="808"/>
      <c r="I46" s="807"/>
      <c r="J46" s="808"/>
      <c r="K46" s="484"/>
    </row>
    <row r="47" s="50" customFormat="1" ht="11.25" hidden="1" customHeight="1">
      <c r="A47" s="793"/>
      <c r="B47" s="57"/>
      <c r="D47" s="805" t="s">
        <v>695</v>
      </c>
      <c r="E47" s="813" t="s">
        <v>768</v>
      </c>
      <c r="F47" s="145" t="s">
        <v>755</v>
      </c>
      <c r="G47" s="807"/>
      <c r="H47" s="808"/>
      <c r="I47" s="807"/>
      <c r="J47" s="808"/>
      <c r="K47" s="484"/>
    </row>
    <row r="48" s="50" customFormat="1" ht="11.25" hidden="1" customHeight="1">
      <c r="A48" s="793"/>
      <c r="B48" s="57"/>
      <c r="D48" s="805" t="s">
        <v>769</v>
      </c>
      <c r="E48" s="816" t="s">
        <v>770</v>
      </c>
      <c r="F48" s="145" t="s">
        <v>755</v>
      </c>
      <c r="G48" s="807"/>
      <c r="H48" s="808"/>
      <c r="I48" s="807"/>
      <c r="J48" s="808"/>
      <c r="K48" s="484"/>
    </row>
    <row r="49" s="50" customFormat="1" ht="11.25" hidden="1" customHeight="1">
      <c r="A49" s="793"/>
      <c r="B49" s="57"/>
      <c r="D49" s="805" t="s">
        <v>771</v>
      </c>
      <c r="E49" s="816" t="s">
        <v>772</v>
      </c>
      <c r="F49" s="145" t="s">
        <v>755</v>
      </c>
      <c r="G49" s="807"/>
      <c r="H49" s="808"/>
      <c r="I49" s="807"/>
      <c r="J49" s="808"/>
      <c r="K49" s="484"/>
    </row>
    <row r="50" s="50" customFormat="1" ht="11.25" hidden="1" customHeight="1">
      <c r="A50" s="793"/>
      <c r="B50" s="57"/>
      <c r="D50" s="805" t="s">
        <v>773</v>
      </c>
      <c r="E50" s="813" t="s">
        <v>774</v>
      </c>
      <c r="F50" s="145" t="s">
        <v>755</v>
      </c>
      <c r="G50" s="807"/>
      <c r="H50" s="808"/>
      <c r="I50" s="807"/>
      <c r="J50" s="808"/>
      <c r="K50" s="484"/>
    </row>
    <row r="51" s="50" customFormat="1" ht="11.25" hidden="1" customHeight="1">
      <c r="A51" s="793"/>
      <c r="B51" s="57"/>
      <c r="D51" s="805" t="s">
        <v>775</v>
      </c>
      <c r="E51" s="813" t="s">
        <v>776</v>
      </c>
      <c r="F51" s="145" t="s">
        <v>755</v>
      </c>
      <c r="G51" s="807"/>
      <c r="H51" s="808"/>
      <c r="I51" s="807"/>
      <c r="J51" s="808"/>
      <c r="K51" s="484"/>
    </row>
    <row r="52" s="50" customFormat="1" ht="45" hidden="1" customHeight="1">
      <c r="A52" s="793"/>
      <c r="B52" s="57"/>
      <c r="D52" s="805" t="s">
        <v>112</v>
      </c>
      <c r="E52" s="815" t="s">
        <v>777</v>
      </c>
      <c r="F52" s="145" t="s">
        <v>755</v>
      </c>
      <c r="G52" s="807"/>
      <c r="H52" s="808"/>
      <c r="I52" s="807"/>
      <c r="J52" s="808"/>
      <c r="K52" s="484"/>
    </row>
    <row r="53" s="50" customFormat="1" ht="11.25" hidden="1" customHeight="1">
      <c r="A53" s="793"/>
      <c r="B53" s="57"/>
      <c r="D53" s="805" t="s">
        <v>303</v>
      </c>
      <c r="E53" s="813" t="s">
        <v>766</v>
      </c>
      <c r="F53" s="145" t="s">
        <v>755</v>
      </c>
      <c r="G53" s="807"/>
      <c r="H53" s="808"/>
      <c r="I53" s="807"/>
      <c r="J53" s="808"/>
      <c r="K53" s="484"/>
    </row>
    <row r="54" s="50" customFormat="1" ht="11.25" hidden="1" customHeight="1">
      <c r="A54" s="793"/>
      <c r="B54" s="57"/>
      <c r="D54" s="805" t="s">
        <v>305</v>
      </c>
      <c r="E54" s="813" t="s">
        <v>767</v>
      </c>
      <c r="F54" s="145" t="s">
        <v>755</v>
      </c>
      <c r="G54" s="807"/>
      <c r="H54" s="808"/>
      <c r="I54" s="807"/>
      <c r="J54" s="808"/>
      <c r="K54" s="484"/>
    </row>
    <row r="55" s="50" customFormat="1" ht="11.25" hidden="1" customHeight="1">
      <c r="A55" s="793"/>
      <c r="B55" s="57"/>
      <c r="D55" s="805" t="s">
        <v>308</v>
      </c>
      <c r="E55" s="813" t="s">
        <v>768</v>
      </c>
      <c r="F55" s="145" t="s">
        <v>755</v>
      </c>
      <c r="G55" s="807"/>
      <c r="H55" s="808"/>
      <c r="I55" s="807"/>
      <c r="J55" s="808"/>
      <c r="K55" s="484"/>
    </row>
    <row r="56" s="50" customFormat="1" ht="11.25" hidden="1" customHeight="1">
      <c r="A56" s="793"/>
      <c r="B56" s="57"/>
      <c r="D56" s="805" t="s">
        <v>778</v>
      </c>
      <c r="E56" s="816" t="s">
        <v>770</v>
      </c>
      <c r="F56" s="145" t="s">
        <v>755</v>
      </c>
      <c r="G56" s="807"/>
      <c r="H56" s="808"/>
      <c r="I56" s="807"/>
      <c r="J56" s="808"/>
      <c r="K56" s="484"/>
    </row>
    <row r="57" s="50" customFormat="1" ht="11.25" hidden="1" customHeight="1">
      <c r="A57" s="793"/>
      <c r="B57" s="57"/>
      <c r="D57" s="805" t="s">
        <v>779</v>
      </c>
      <c r="E57" s="816" t="s">
        <v>772</v>
      </c>
      <c r="F57" s="145" t="s">
        <v>755</v>
      </c>
      <c r="G57" s="807"/>
      <c r="H57" s="808"/>
      <c r="I57" s="807"/>
      <c r="J57" s="808"/>
      <c r="K57" s="484"/>
    </row>
    <row r="58" s="50" customFormat="1" ht="11.25" hidden="1" customHeight="1">
      <c r="A58" s="793"/>
      <c r="B58" s="57"/>
      <c r="D58" s="805" t="s">
        <v>310</v>
      </c>
      <c r="E58" s="813" t="s">
        <v>774</v>
      </c>
      <c r="F58" s="145" t="s">
        <v>755</v>
      </c>
      <c r="G58" s="807"/>
      <c r="H58" s="808"/>
      <c r="I58" s="807"/>
      <c r="J58" s="808"/>
      <c r="K58" s="484"/>
    </row>
    <row r="59" s="50" customFormat="1" ht="11.25" hidden="1" customHeight="1">
      <c r="A59" s="793"/>
      <c r="B59" s="57"/>
      <c r="D59" s="805" t="s">
        <v>780</v>
      </c>
      <c r="E59" s="813" t="s">
        <v>776</v>
      </c>
      <c r="F59" s="145" t="s">
        <v>755</v>
      </c>
      <c r="G59" s="807"/>
      <c r="H59" s="808"/>
      <c r="I59" s="807"/>
      <c r="J59" s="808"/>
      <c r="K59" s="484"/>
    </row>
    <row r="60" s="50" customFormat="1" ht="33.75" hidden="1" customHeight="1">
      <c r="A60" s="793"/>
      <c r="B60" s="57"/>
      <c r="D60" s="805" t="s">
        <v>89</v>
      </c>
      <c r="E60" s="815" t="s">
        <v>781</v>
      </c>
      <c r="F60" s="817" t="s">
        <v>540</v>
      </c>
      <c r="G60" s="740"/>
      <c r="H60" s="808"/>
      <c r="I60" s="740"/>
      <c r="J60" s="808"/>
      <c r="K60" s="557" t="s">
        <v>782</v>
      </c>
    </row>
    <row r="61" s="50" customFormat="1" ht="33.75" hidden="1" customHeight="1">
      <c r="A61" s="793"/>
      <c r="B61" s="57"/>
      <c r="D61" s="805" t="s">
        <v>90</v>
      </c>
      <c r="E61" s="815" t="s">
        <v>783</v>
      </c>
      <c r="F61" s="818" t="s">
        <v>716</v>
      </c>
      <c r="G61" s="807"/>
      <c r="H61" s="808"/>
      <c r="I61" s="807"/>
      <c r="J61" s="808"/>
      <c r="K61" s="484"/>
    </row>
    <row r="62" s="50" customFormat="1" ht="22.5" hidden="1" customHeight="1">
      <c r="A62" s="793"/>
      <c r="B62" s="57" t="s">
        <v>570</v>
      </c>
      <c r="D62" s="805" t="s">
        <v>113</v>
      </c>
      <c r="E62" s="815" t="s">
        <v>784</v>
      </c>
      <c r="F62" s="818" t="s">
        <v>294</v>
      </c>
      <c r="G62" s="469"/>
      <c r="H62" s="808"/>
      <c r="I62" s="469"/>
      <c r="J62" s="808"/>
      <c r="K62" s="484" t="s">
        <v>785</v>
      </c>
    </row>
    <row r="63" s="50" customFormat="1" ht="45" hidden="1" customHeight="1">
      <c r="A63" s="793"/>
      <c r="B63" s="57" t="s">
        <v>570</v>
      </c>
      <c r="D63" s="805" t="s">
        <v>786</v>
      </c>
      <c r="E63" s="813" t="s">
        <v>787</v>
      </c>
      <c r="F63" s="817" t="s">
        <v>294</v>
      </c>
      <c r="G63" s="469"/>
      <c r="H63" s="808"/>
      <c r="I63" s="469"/>
      <c r="J63" s="808"/>
      <c r="K63" s="484" t="s">
        <v>785</v>
      </c>
    </row>
    <row r="64" s="50" customFormat="1" ht="11.25" customHeight="1">
      <c r="A64" s="790"/>
      <c r="B64" s="57"/>
      <c r="D64" s="394"/>
      <c r="E64" s="799"/>
    </row>
    <row r="65" s="50" customFormat="1" ht="22.5" hidden="1" customHeight="1">
      <c r="A65" s="793" t="s">
        <v>788</v>
      </c>
      <c r="B65" s="57"/>
      <c r="D65" s="805">
        <v>1</v>
      </c>
      <c r="E65" s="819" t="s">
        <v>789</v>
      </c>
      <c r="F65" s="820" t="s">
        <v>706</v>
      </c>
      <c r="G65" s="810"/>
      <c r="H65" s="821"/>
      <c r="I65" s="810"/>
      <c r="J65" s="821"/>
      <c r="K65" s="547" t="s">
        <v>790</v>
      </c>
    </row>
    <row r="66" s="50" customFormat="1" ht="56.25" hidden="1" customHeight="1">
      <c r="A66" s="793"/>
      <c r="B66" s="57"/>
      <c r="D66" s="822" t="s">
        <v>99</v>
      </c>
      <c r="E66" s="312" t="s">
        <v>791</v>
      </c>
      <c r="F66" s="145" t="s">
        <v>528</v>
      </c>
      <c r="G66" s="145" t="s">
        <v>528</v>
      </c>
      <c r="H66" s="800"/>
      <c r="I66" s="145" t="s">
        <v>528</v>
      </c>
      <c r="J66" s="800"/>
      <c r="K66" s="484"/>
    </row>
    <row r="67" s="50" customFormat="1" ht="33.75" hidden="1" customHeight="1">
      <c r="A67" s="793"/>
      <c r="B67" s="57"/>
      <c r="D67" s="822" t="s">
        <v>604</v>
      </c>
      <c r="E67" s="655" t="s">
        <v>792</v>
      </c>
      <c r="F67" s="145" t="s">
        <v>758</v>
      </c>
      <c r="G67" s="823"/>
      <c r="H67" s="800"/>
      <c r="I67" s="823"/>
      <c r="J67" s="800"/>
      <c r="K67" s="484"/>
    </row>
    <row r="68" s="50" customFormat="1" ht="22.5" hidden="1" customHeight="1">
      <c r="A68" s="793"/>
      <c r="B68" s="57"/>
      <c r="D68" s="822" t="s">
        <v>295</v>
      </c>
      <c r="E68" s="655" t="s">
        <v>793</v>
      </c>
      <c r="F68" s="145" t="s">
        <v>758</v>
      </c>
      <c r="G68" s="823"/>
      <c r="H68" s="800"/>
      <c r="I68" s="823"/>
      <c r="J68" s="800"/>
      <c r="K68" s="484"/>
    </row>
    <row r="69" s="50" customFormat="1" ht="22.5" hidden="1" customHeight="1">
      <c r="A69" s="793"/>
      <c r="B69" s="57"/>
      <c r="D69" s="822" t="s">
        <v>298</v>
      </c>
      <c r="E69" s="655" t="s">
        <v>794</v>
      </c>
      <c r="F69" s="817" t="s">
        <v>540</v>
      </c>
      <c r="G69" s="740"/>
      <c r="H69" s="800"/>
      <c r="I69" s="740"/>
      <c r="J69" s="800"/>
      <c r="K69" s="484"/>
    </row>
    <row r="70" s="50" customFormat="1" ht="22.5" hidden="1" customHeight="1">
      <c r="A70" s="793"/>
      <c r="B70" s="57"/>
      <c r="D70" s="822" t="s">
        <v>624</v>
      </c>
      <c r="E70" s="655" t="s">
        <v>795</v>
      </c>
      <c r="F70" s="817" t="s">
        <v>540</v>
      </c>
      <c r="G70" s="740"/>
      <c r="H70" s="800"/>
      <c r="I70" s="740"/>
      <c r="J70" s="800"/>
      <c r="K70" s="484"/>
    </row>
    <row r="71" s="50" customFormat="1" ht="22.5" hidden="1" customHeight="1">
      <c r="A71" s="793"/>
      <c r="B71" s="57"/>
      <c r="D71" s="805" t="s">
        <v>87</v>
      </c>
      <c r="E71" s="815" t="s">
        <v>796</v>
      </c>
      <c r="F71" s="145" t="s">
        <v>758</v>
      </c>
      <c r="G71" s="706"/>
      <c r="H71" s="804"/>
      <c r="I71" s="706"/>
      <c r="J71" s="804"/>
      <c r="K71" s="557"/>
    </row>
    <row r="72" s="50" customFormat="1" ht="56.25" hidden="1" customHeight="1">
      <c r="A72" s="793"/>
      <c r="B72" s="57"/>
      <c r="D72" s="805" t="s">
        <v>88</v>
      </c>
      <c r="E72" s="815" t="s">
        <v>797</v>
      </c>
      <c r="F72" s="817" t="s">
        <v>540</v>
      </c>
      <c r="G72" s="740"/>
      <c r="H72" s="808"/>
      <c r="I72" s="740"/>
      <c r="J72" s="808"/>
      <c r="K72" s="557"/>
    </row>
    <row r="73" s="50" customFormat="1" ht="33.75" hidden="1" customHeight="1">
      <c r="A73" s="793"/>
      <c r="B73" s="57"/>
      <c r="D73" s="805" t="s">
        <v>112</v>
      </c>
      <c r="E73" s="815" t="s">
        <v>798</v>
      </c>
      <c r="F73" s="818" t="s">
        <v>716</v>
      </c>
      <c r="G73" s="807"/>
      <c r="H73" s="808"/>
      <c r="I73" s="807"/>
      <c r="J73" s="808"/>
      <c r="K73" s="484"/>
    </row>
    <row r="74" s="50" customFormat="1" ht="22.5" hidden="1" customHeight="1">
      <c r="A74" s="793"/>
      <c r="B74" s="57" t="s">
        <v>570</v>
      </c>
      <c r="D74" s="805" t="s">
        <v>89</v>
      </c>
      <c r="E74" s="815" t="s">
        <v>799</v>
      </c>
      <c r="F74" s="818" t="s">
        <v>294</v>
      </c>
      <c r="G74" s="469"/>
      <c r="H74" s="808"/>
      <c r="I74" s="469"/>
      <c r="J74" s="808"/>
      <c r="K74" s="484" t="s">
        <v>785</v>
      </c>
    </row>
    <row r="75" s="50" customFormat="1" ht="45" hidden="1" customHeight="1">
      <c r="A75" s="793"/>
      <c r="B75" s="57" t="s">
        <v>570</v>
      </c>
      <c r="D75" s="805" t="s">
        <v>800</v>
      </c>
      <c r="E75" s="813" t="s">
        <v>801</v>
      </c>
      <c r="F75" s="817" t="s">
        <v>294</v>
      </c>
      <c r="G75" s="469"/>
      <c r="H75" s="808"/>
      <c r="I75" s="469"/>
      <c r="J75" s="808"/>
      <c r="K75" s="484" t="s">
        <v>785</v>
      </c>
    </row>
    <row r="76" s="50" customFormat="1" ht="11.25" customHeight="1">
      <c r="A76" s="790"/>
      <c r="B76" s="57"/>
      <c r="D76" s="394"/>
      <c r="E76" s="799"/>
    </row>
    <row r="77" s="50" customFormat="1" ht="11.25" hidden="1" customHeight="1">
      <c r="A77" s="793" t="s">
        <v>802</v>
      </c>
      <c r="B77" s="57"/>
      <c r="D77" s="805">
        <v>1</v>
      </c>
      <c r="E77" s="815" t="s">
        <v>803</v>
      </c>
      <c r="F77" s="817" t="s">
        <v>706</v>
      </c>
      <c r="G77" s="824"/>
      <c r="H77" s="808"/>
      <c r="I77" s="824"/>
      <c r="J77" s="808"/>
      <c r="K77" s="484" t="s">
        <v>804</v>
      </c>
    </row>
    <row r="78" s="50" customFormat="1" ht="11.25" hidden="1" customHeight="1">
      <c r="A78" s="793"/>
      <c r="B78" s="57"/>
      <c r="D78" s="805" t="s">
        <v>99</v>
      </c>
      <c r="E78" s="815" t="s">
        <v>805</v>
      </c>
      <c r="F78" s="817" t="s">
        <v>706</v>
      </c>
      <c r="G78" s="824"/>
      <c r="H78" s="808"/>
      <c r="I78" s="824"/>
      <c r="J78" s="808"/>
      <c r="K78" s="484" t="s">
        <v>806</v>
      </c>
    </row>
    <row r="79" s="50" customFormat="1" ht="22.5" hidden="1" customHeight="1">
      <c r="A79" s="793"/>
      <c r="B79" s="57"/>
      <c r="D79" s="805" t="s">
        <v>87</v>
      </c>
      <c r="E79" s="811" t="s">
        <v>807</v>
      </c>
      <c r="F79" s="145" t="s">
        <v>755</v>
      </c>
      <c r="G79" s="824"/>
      <c r="H79" s="808"/>
      <c r="I79" s="824"/>
      <c r="J79" s="808"/>
      <c r="K79" s="484" t="s">
        <v>808</v>
      </c>
    </row>
    <row r="80" s="50" customFormat="1" ht="11.25" hidden="1" customHeight="1">
      <c r="A80" s="793"/>
      <c r="B80" s="57"/>
      <c r="D80" s="805" t="s">
        <v>314</v>
      </c>
      <c r="E80" s="806" t="s">
        <v>809</v>
      </c>
      <c r="F80" s="145" t="s">
        <v>755</v>
      </c>
      <c r="G80" s="824"/>
      <c r="H80" s="808"/>
      <c r="I80" s="824"/>
      <c r="J80" s="808"/>
      <c r="K80" s="484"/>
    </row>
    <row r="81" s="50" customFormat="1" ht="11.25" hidden="1" customHeight="1">
      <c r="A81" s="793"/>
      <c r="B81" s="57"/>
      <c r="D81" s="805" t="s">
        <v>322</v>
      </c>
      <c r="E81" s="806" t="s">
        <v>810</v>
      </c>
      <c r="F81" s="145" t="s">
        <v>755</v>
      </c>
      <c r="G81" s="824"/>
      <c r="H81" s="808"/>
      <c r="I81" s="824"/>
      <c r="J81" s="808"/>
      <c r="K81" s="484"/>
    </row>
    <row r="82" s="50" customFormat="1" ht="11.25" hidden="1" customHeight="1">
      <c r="A82" s="793"/>
      <c r="B82" s="57"/>
      <c r="D82" s="805" t="s">
        <v>324</v>
      </c>
      <c r="E82" s="806" t="s">
        <v>811</v>
      </c>
      <c r="F82" s="145" t="s">
        <v>755</v>
      </c>
      <c r="G82" s="824"/>
      <c r="H82" s="808"/>
      <c r="I82" s="824"/>
      <c r="J82" s="808"/>
      <c r="K82" s="484"/>
    </row>
    <row r="83" s="50" customFormat="1" ht="11.25" hidden="1" customHeight="1">
      <c r="A83" s="793"/>
      <c r="B83" s="57"/>
      <c r="D83" s="805" t="s">
        <v>326</v>
      </c>
      <c r="E83" s="806" t="s">
        <v>812</v>
      </c>
      <c r="F83" s="145" t="s">
        <v>755</v>
      </c>
      <c r="G83" s="824"/>
      <c r="H83" s="808"/>
      <c r="I83" s="824"/>
      <c r="J83" s="808"/>
      <c r="K83" s="484"/>
    </row>
    <row r="84" s="50" customFormat="1" ht="11.25" hidden="1" customHeight="1">
      <c r="A84" s="793"/>
      <c r="B84" s="57"/>
      <c r="D84" s="805" t="s">
        <v>813</v>
      </c>
      <c r="E84" s="806" t="s">
        <v>814</v>
      </c>
      <c r="F84" s="145" t="s">
        <v>755</v>
      </c>
      <c r="G84" s="824"/>
      <c r="H84" s="808"/>
      <c r="I84" s="824"/>
      <c r="J84" s="808"/>
      <c r="K84" s="484"/>
    </row>
    <row r="85" s="50" customFormat="1" ht="11.25" hidden="1" customHeight="1">
      <c r="A85" s="793"/>
      <c r="B85" s="57"/>
      <c r="D85" s="805" t="s">
        <v>815</v>
      </c>
      <c r="E85" s="806" t="s">
        <v>816</v>
      </c>
      <c r="F85" s="145" t="s">
        <v>755</v>
      </c>
      <c r="G85" s="824"/>
      <c r="H85" s="808"/>
      <c r="I85" s="824"/>
      <c r="J85" s="808"/>
      <c r="K85" s="484"/>
    </row>
    <row r="86" s="50" customFormat="1" ht="11.25" hidden="1" customHeight="1">
      <c r="A86" s="793"/>
      <c r="B86" s="57"/>
      <c r="D86" s="805" t="s">
        <v>817</v>
      </c>
      <c r="E86" s="806" t="s">
        <v>818</v>
      </c>
      <c r="F86" s="145" t="s">
        <v>755</v>
      </c>
      <c r="G86" s="824"/>
      <c r="H86" s="808"/>
      <c r="I86" s="824"/>
      <c r="J86" s="808"/>
      <c r="K86" s="484"/>
    </row>
    <row r="87" s="50" customFormat="1" ht="45" hidden="1" customHeight="1">
      <c r="A87" s="793"/>
      <c r="B87" s="57"/>
      <c r="D87" s="805" t="s">
        <v>88</v>
      </c>
      <c r="E87" s="815" t="s">
        <v>819</v>
      </c>
      <c r="F87" s="145" t="s">
        <v>755</v>
      </c>
      <c r="G87" s="824"/>
      <c r="H87" s="808"/>
      <c r="I87" s="824"/>
      <c r="J87" s="808"/>
      <c r="K87" s="484" t="s">
        <v>820</v>
      </c>
    </row>
    <row r="88" s="50" customFormat="1" ht="11.25" hidden="1" customHeight="1">
      <c r="A88" s="793"/>
      <c r="B88" s="57"/>
      <c r="D88" s="805" t="s">
        <v>649</v>
      </c>
      <c r="E88" s="806" t="s">
        <v>809</v>
      </c>
      <c r="F88" s="145" t="s">
        <v>755</v>
      </c>
      <c r="G88" s="824"/>
      <c r="H88" s="808"/>
      <c r="I88" s="824"/>
      <c r="J88" s="808"/>
      <c r="K88" s="484"/>
    </row>
    <row r="89" s="50" customFormat="1" ht="11.25" hidden="1" customHeight="1">
      <c r="A89" s="793"/>
      <c r="B89" s="57"/>
      <c r="D89" s="805" t="s">
        <v>692</v>
      </c>
      <c r="E89" s="806" t="s">
        <v>810</v>
      </c>
      <c r="F89" s="145" t="s">
        <v>755</v>
      </c>
      <c r="G89" s="824"/>
      <c r="H89" s="808"/>
      <c r="I89" s="824"/>
      <c r="J89" s="808"/>
      <c r="K89" s="484"/>
    </row>
    <row r="90" s="50" customFormat="1" ht="11.25" hidden="1" customHeight="1">
      <c r="A90" s="793"/>
      <c r="B90" s="57"/>
      <c r="D90" s="805" t="s">
        <v>695</v>
      </c>
      <c r="E90" s="806" t="s">
        <v>811</v>
      </c>
      <c r="F90" s="145" t="s">
        <v>755</v>
      </c>
      <c r="G90" s="824"/>
      <c r="H90" s="808"/>
      <c r="I90" s="824"/>
      <c r="J90" s="808"/>
      <c r="K90" s="484"/>
    </row>
    <row r="91" s="50" customFormat="1" ht="11.25" hidden="1" customHeight="1">
      <c r="A91" s="793"/>
      <c r="B91" s="57"/>
      <c r="D91" s="805" t="s">
        <v>773</v>
      </c>
      <c r="E91" s="806" t="s">
        <v>812</v>
      </c>
      <c r="F91" s="145" t="s">
        <v>755</v>
      </c>
      <c r="G91" s="824"/>
      <c r="H91" s="808"/>
      <c r="I91" s="824"/>
      <c r="J91" s="808"/>
      <c r="K91" s="484"/>
    </row>
    <row r="92" s="50" customFormat="1" ht="11.25" hidden="1" customHeight="1">
      <c r="A92" s="793"/>
      <c r="B92" s="57"/>
      <c r="D92" s="805" t="s">
        <v>775</v>
      </c>
      <c r="E92" s="806" t="s">
        <v>814</v>
      </c>
      <c r="F92" s="145" t="s">
        <v>755</v>
      </c>
      <c r="G92" s="824"/>
      <c r="H92" s="808"/>
      <c r="I92" s="824"/>
      <c r="J92" s="808"/>
      <c r="K92" s="484"/>
    </row>
    <row r="93" s="50" customFormat="1" ht="11.25" hidden="1" customHeight="1">
      <c r="A93" s="793"/>
      <c r="B93" s="57"/>
      <c r="D93" s="805" t="s">
        <v>821</v>
      </c>
      <c r="E93" s="806" t="s">
        <v>816</v>
      </c>
      <c r="F93" s="145" t="s">
        <v>755</v>
      </c>
      <c r="G93" s="824"/>
      <c r="H93" s="808"/>
      <c r="I93" s="824"/>
      <c r="J93" s="808"/>
      <c r="K93" s="484"/>
    </row>
    <row r="94" s="50" customFormat="1" ht="11.25" hidden="1" customHeight="1">
      <c r="A94" s="793"/>
      <c r="B94" s="57"/>
      <c r="D94" s="805" t="s">
        <v>822</v>
      </c>
      <c r="E94" s="806" t="s">
        <v>818</v>
      </c>
      <c r="F94" s="145" t="s">
        <v>755</v>
      </c>
      <c r="G94" s="824"/>
      <c r="H94" s="808"/>
      <c r="I94" s="824"/>
      <c r="J94" s="808"/>
      <c r="K94" s="484"/>
    </row>
    <row r="95" s="50" customFormat="1" ht="24.75" hidden="1" customHeight="1">
      <c r="A95" s="793"/>
      <c r="B95" s="57"/>
      <c r="D95" s="805" t="s">
        <v>112</v>
      </c>
      <c r="E95" s="815" t="s">
        <v>823</v>
      </c>
      <c r="F95" s="825" t="s">
        <v>540</v>
      </c>
      <c r="G95" s="823"/>
      <c r="H95" s="808"/>
      <c r="I95" s="823"/>
      <c r="J95" s="808"/>
      <c r="K95" s="484" t="s">
        <v>824</v>
      </c>
    </row>
    <row r="96" s="50" customFormat="1" ht="33.75" hidden="1" customHeight="1">
      <c r="A96" s="793"/>
      <c r="B96" s="57"/>
      <c r="D96" s="805" t="s">
        <v>89</v>
      </c>
      <c r="E96" s="815" t="s">
        <v>825</v>
      </c>
      <c r="F96" s="818" t="s">
        <v>716</v>
      </c>
      <c r="G96" s="826"/>
      <c r="H96" s="808"/>
      <c r="I96" s="826"/>
      <c r="J96" s="808"/>
      <c r="K96" s="484"/>
    </row>
    <row r="97" s="50" customFormat="1" ht="22.5" hidden="1" customHeight="1">
      <c r="A97" s="793"/>
      <c r="B97" s="57" t="s">
        <v>570</v>
      </c>
      <c r="D97" s="805" t="s">
        <v>90</v>
      </c>
      <c r="E97" s="815" t="s">
        <v>826</v>
      </c>
      <c r="F97" s="818" t="s">
        <v>294</v>
      </c>
      <c r="G97" s="827"/>
      <c r="H97" s="808"/>
      <c r="I97" s="827"/>
      <c r="J97" s="808"/>
      <c r="K97" s="484" t="s">
        <v>785</v>
      </c>
    </row>
    <row r="98" s="50" customFormat="1" ht="45" hidden="1" customHeight="1">
      <c r="A98" s="793"/>
      <c r="B98" s="57" t="s">
        <v>570</v>
      </c>
      <c r="D98" s="805" t="s">
        <v>827</v>
      </c>
      <c r="E98" s="813" t="s">
        <v>828</v>
      </c>
      <c r="F98" s="817" t="s">
        <v>294</v>
      </c>
      <c r="G98" s="827"/>
      <c r="H98" s="808"/>
      <c r="I98" s="827"/>
      <c r="J98" s="808"/>
      <c r="K98" s="484" t="s">
        <v>785</v>
      </c>
    </row>
    <row r="99" s="50" customFormat="1" ht="95.25" hidden="1" customHeight="1">
      <c r="A99" s="793"/>
      <c r="B99" s="57" t="s">
        <v>570</v>
      </c>
      <c r="D99" s="805" t="s">
        <v>113</v>
      </c>
      <c r="E99" s="815" t="s">
        <v>829</v>
      </c>
      <c r="F99" s="817" t="s">
        <v>294</v>
      </c>
      <c r="G99" s="827"/>
      <c r="H99" s="808"/>
      <c r="I99" s="827"/>
      <c r="J99" s="808"/>
      <c r="K99" s="484" t="s">
        <v>785</v>
      </c>
    </row>
    <row r="100" s="50" customFormat="1" ht="22.5" hidden="1" customHeight="1">
      <c r="A100" s="793"/>
      <c r="B100" s="57" t="s">
        <v>570</v>
      </c>
      <c r="D100" s="805" t="s">
        <v>150</v>
      </c>
      <c r="E100" s="815" t="s">
        <v>830</v>
      </c>
      <c r="F100" s="817" t="s">
        <v>294</v>
      </c>
      <c r="G100" s="827"/>
      <c r="H100" s="808"/>
      <c r="I100" s="827"/>
      <c r="J100" s="808"/>
      <c r="K100" s="484" t="s">
        <v>785</v>
      </c>
    </row>
    <row r="101" s="50" customFormat="1" ht="11.25" customHeight="1">
      <c r="A101" s="790"/>
      <c r="B101" s="57"/>
      <c r="D101" s="394"/>
      <c r="E101" s="799"/>
    </row>
  </sheetData>
  <sheetProtection autoFilter="0" deleteColumns="0" deleteRows="0" formatCells="1" formatColumns="0" formatRows="0" insertColumns="1" insertHyperlinks="1" insertRows="0" pivotTables="1" selectLockedCells="0" selectUnlockedCells="0" sheet="0" sort="0"/>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6C00D8-00B5-4F90-9AF6-0094002100BA}" type="textLength" allowBlank="1" error="Допускается ввод не более 900 символов!" errorStyle="stop" errorTitle="Ошибка" imeMode="noControl" operator="lessThanOrEqual" showDropDown="0" showErrorMessage="1" showInputMessage="1">
          <x14:formula1>
            <xm:f>900</xm:f>
          </x14:formula1>
          <xm:sqref>H21:H22 H29:H30 H24 H26:H27 H15:H18 J26:J27 J15:J18 J21:J22 J29:J30 J24</xm:sqref>
        </x14:dataValidation>
        <x14:dataValidation xr:uid="{00380040-004B-4F2F-8B17-00EC004600A6}"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G16:G17 I16:I17</xm:sqref>
        </x14:dataValidation>
        <x14:dataValidation xr:uid="{00C30019-009C-480B-9BA7-0066002C00B8}"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G32 G67:G68 G39:G40 G37 G44:G59 G61 G77:G94 G73 G71 G96 G65 G18 G13:G14 G29:G30 G26:G27 I32 I67:I68 I39:I40 I37 I44:I59 I61 I77:I94 I73 I71 I96 I65 I18 I13:I14 I29:I30 I26:I27</xm:sqref>
        </x14:dataValidation>
        <x14:dataValidation xr:uid="{00B900AB-0011-4B82-83AE-007F00290054}"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G74:G75 G62:G63 G97:G100 H19 H13:H14 H31:H32 I74:I75 I62:I63 I97:I100 J19 J13:J14 J31:J32</xm:sqref>
        </x14:dataValidation>
        <x14:dataValidation xr:uid="{00EC002F-0017-4145-881D-0066005800F0}" type="decimal" allowBlank="1" error="Введите значение от 0 до 100%" errorStyle="stop" errorTitle="Ошибка" imeMode="noControl" operator="between" showDropDown="0" showErrorMessage="1" showInputMessage="0">
          <x14:formula1>
            <xm:f>0</xm:f>
          </x14:formula1>
          <x14:formula2>
            <xm:f>100</xm:f>
          </x14:formula2>
          <xm:sqref>G31 G95 G60 G72 G42:G43 G69:G70 I31 I95 I60 I72 I42:I43 I69:I70</xm:sqref>
        </x14:dataValidation>
        <x14:dataValidation xr:uid="{00D30053-009E-4FD9-AE48-008000170099}" type="list" allowBlank="1" error="Укажите значение вручную или выберите из списка!" errorStyle="stop" errorTitle="Ошибка" imeMode="noControl" operator="between" prompt="Укажите значение вручную или выберите из списка" showDropDown="0" showErrorMessage="0" showInputMessage="1">
          <x14:formula1>
            <xm:f>"Не утверждены"</xm:f>
          </x14:formula1>
          <xm:sqref>G19 I19</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26B0A"/>
    <outlinePr applyStyles="0" summaryBelow="1" summaryRight="1" showOutlineSymbols="1"/>
    <pageSetUpPr autoPageBreaks="1" fitToPage="0"/>
  </sheetPr>
  <sheetViews>
    <sheetView showGridLines="0" topLeftCell="C21" zoomScale="90" workbookViewId="0">
      <selection activeCell="I38" activeCellId="0" sqref="I38"/>
    </sheetView>
  </sheetViews>
  <sheetFormatPr defaultColWidth="10.57421875" defaultRowHeight="15" customHeight="1"/>
  <cols>
    <col customWidth="1" hidden="1" min="1" max="1" style="56" width="9.140625"/>
    <col customWidth="1" hidden="1" min="2" max="2" style="50" width="9.140625"/>
    <col customWidth="1" min="3" max="3" style="148" width="4.7109375"/>
    <col customWidth="1" min="4" max="4" style="50" width="6.28125"/>
    <col customWidth="1" min="5" max="5" style="50" width="36.7109375"/>
    <col customWidth="1" min="6" max="6" style="50" width="9.57421875"/>
    <col customWidth="1" hidden="1" min="7" max="7" style="50" width="25.7109375"/>
    <col customWidth="1" hidden="1" min="8" max="8" style="50" width="33.7109375"/>
    <col customWidth="1" min="9" max="9" style="50" width="25.7109375"/>
    <col customWidth="1" min="10" max="10" style="50" width="33.7109375"/>
    <col customWidth="1" min="11" max="11" style="53" width="93.421875"/>
    <col min="12" max="20" style="50" width="10.57421875"/>
    <col min="21" max="21" style="114" width="10.57421875"/>
  </cols>
  <sheetData>
    <row r="1" s="53" customFormat="1" ht="15" hidden="1" customHeight="1">
      <c r="C1" s="113"/>
      <c r="G1" s="53">
        <v>4</v>
      </c>
      <c r="I1" s="53">
        <v>4</v>
      </c>
      <c r="U1" s="165"/>
    </row>
    <row r="2" s="53" customFormat="1" ht="15" hidden="1" customHeight="1">
      <c r="C2" s="113"/>
      <c r="U2" s="165"/>
    </row>
    <row r="3" ht="22.5" hidden="1" customHeight="1">
      <c r="A3" s="50"/>
      <c r="B3" s="60"/>
      <c r="C3" s="828"/>
      <c r="D3" s="829" t="str">
        <f>B3&amp;".1"</f>
        <v>.1</v>
      </c>
      <c r="E3" s="372" t="s">
        <v>831</v>
      </c>
      <c r="F3" s="72" t="s">
        <v>294</v>
      </c>
      <c r="G3" s="661"/>
      <c r="H3" s="735"/>
      <c r="I3" s="661"/>
      <c r="J3" s="735"/>
      <c r="K3" s="484" t="s">
        <v>832</v>
      </c>
    </row>
    <row r="4" ht="15" hidden="1" customHeight="1">
      <c r="A4" s="50"/>
      <c r="B4" s="60"/>
      <c r="C4" s="828"/>
      <c r="D4" s="829" t="str">
        <f>B3&amp;".2"</f>
        <v>.2</v>
      </c>
      <c r="E4" s="372" t="s">
        <v>833</v>
      </c>
      <c r="F4" s="72" t="s">
        <v>294</v>
      </c>
      <c r="G4" s="830" t="s">
        <v>18</v>
      </c>
      <c r="H4" s="735"/>
      <c r="I4" s="830" t="s">
        <v>18</v>
      </c>
      <c r="J4" s="735"/>
      <c r="K4" s="484" t="s">
        <v>834</v>
      </c>
    </row>
    <row r="5" s="53" customFormat="1" ht="15" hidden="1" customHeight="1">
      <c r="C5" s="113"/>
      <c r="U5" s="165"/>
    </row>
    <row r="6" ht="22.5" hidden="1" customHeight="1">
      <c r="A6" s="50"/>
      <c r="B6" s="60"/>
      <c r="C6" s="828"/>
      <c r="D6" s="829" t="str">
        <f>B6&amp;".1"</f>
        <v>.1</v>
      </c>
      <c r="E6" s="372" t="s">
        <v>835</v>
      </c>
      <c r="F6" s="72" t="s">
        <v>294</v>
      </c>
      <c r="G6" s="661"/>
      <c r="H6" s="735"/>
      <c r="I6" s="661"/>
      <c r="J6" s="735"/>
      <c r="K6" s="484" t="s">
        <v>836</v>
      </c>
    </row>
    <row r="7" ht="15" hidden="1" customHeight="1">
      <c r="A7" s="50"/>
      <c r="B7" s="60"/>
      <c r="C7" s="828"/>
      <c r="D7" s="829" t="str">
        <f>B6&amp;".2"</f>
        <v>.2</v>
      </c>
      <c r="E7" s="372" t="s">
        <v>833</v>
      </c>
      <c r="F7" s="72" t="s">
        <v>294</v>
      </c>
      <c r="G7" s="830" t="s">
        <v>18</v>
      </c>
      <c r="H7" s="735"/>
      <c r="I7" s="830" t="s">
        <v>18</v>
      </c>
      <c r="J7" s="735"/>
      <c r="K7" s="484" t="s">
        <v>834</v>
      </c>
    </row>
    <row r="8" s="53" customFormat="1" ht="15" hidden="1" customHeight="1">
      <c r="C8" s="113"/>
      <c r="U8" s="165"/>
    </row>
    <row r="9" ht="22.5" hidden="1" customHeight="1">
      <c r="A9" s="50"/>
      <c r="B9" s="60"/>
      <c r="C9" s="828"/>
      <c r="D9" s="829" t="str">
        <f>B9&amp;".1"</f>
        <v>.1</v>
      </c>
      <c r="E9" s="372" t="s">
        <v>837</v>
      </c>
      <c r="F9" s="72" t="s">
        <v>294</v>
      </c>
      <c r="G9" s="377" t="s">
        <v>18</v>
      </c>
      <c r="H9" s="735" t="s">
        <v>18</v>
      </c>
      <c r="I9" s="831" t="s">
        <v>18</v>
      </c>
      <c r="J9" s="832" t="s">
        <v>18</v>
      </c>
      <c r="K9" s="484"/>
    </row>
    <row r="10" ht="15" hidden="1" customHeight="1">
      <c r="A10" s="50"/>
      <c r="B10" s="60"/>
      <c r="C10" s="828"/>
      <c r="D10" s="829" t="str">
        <f>B9&amp;".2"</f>
        <v>.2</v>
      </c>
      <c r="E10" s="372" t="s">
        <v>838</v>
      </c>
      <c r="F10" s="72" t="s">
        <v>294</v>
      </c>
      <c r="G10" s="87" t="s">
        <v>18</v>
      </c>
      <c r="H10" s="735" t="s">
        <v>18</v>
      </c>
      <c r="I10" s="833" t="s">
        <v>18</v>
      </c>
      <c r="J10" s="832" t="s">
        <v>18</v>
      </c>
      <c r="K10" s="484" t="s">
        <v>839</v>
      </c>
    </row>
    <row r="11" ht="15" hidden="1" customHeight="1">
      <c r="A11" s="50"/>
      <c r="B11" s="60"/>
      <c r="C11" s="828"/>
      <c r="D11" s="829" t="str">
        <f>B9&amp;".3"</f>
        <v>.3</v>
      </c>
      <c r="E11" s="372" t="s">
        <v>840</v>
      </c>
      <c r="F11" s="72" t="s">
        <v>294</v>
      </c>
      <c r="G11" s="87" t="s">
        <v>18</v>
      </c>
      <c r="H11" s="735" t="s">
        <v>18</v>
      </c>
      <c r="I11" s="833" t="s">
        <v>18</v>
      </c>
      <c r="J11" s="832" t="s">
        <v>18</v>
      </c>
      <c r="K11" s="484" t="s">
        <v>841</v>
      </c>
    </row>
    <row r="12" s="53" customFormat="1" ht="15" hidden="1" customHeight="1">
      <c r="C12" s="113"/>
      <c r="U12" s="165"/>
    </row>
    <row r="13" ht="33.75" hidden="1" customHeight="1">
      <c r="A13" s="50"/>
      <c r="B13" s="60"/>
      <c r="C13" s="828"/>
      <c r="D13" s="829" t="str">
        <f>B13&amp;".1"</f>
        <v>.1</v>
      </c>
      <c r="E13" s="372" t="s">
        <v>842</v>
      </c>
      <c r="F13" s="72" t="s">
        <v>294</v>
      </c>
      <c r="G13" s="377" t="s">
        <v>18</v>
      </c>
      <c r="H13" s="735" t="s">
        <v>18</v>
      </c>
      <c r="I13" s="831" t="s">
        <v>18</v>
      </c>
      <c r="J13" s="832" t="s">
        <v>18</v>
      </c>
      <c r="K13" s="484" t="s">
        <v>843</v>
      </c>
    </row>
    <row r="14" ht="15" hidden="1" customHeight="1">
      <c r="B14" s="60"/>
      <c r="C14" s="828"/>
      <c r="D14" s="829" t="str">
        <f>B13&amp;".2"</f>
        <v>.2</v>
      </c>
      <c r="E14" s="372" t="s">
        <v>844</v>
      </c>
      <c r="F14" s="72" t="s">
        <v>294</v>
      </c>
      <c r="G14" s="87" t="s">
        <v>18</v>
      </c>
      <c r="H14" s="735" t="s">
        <v>18</v>
      </c>
      <c r="I14" s="833" t="s">
        <v>18</v>
      </c>
      <c r="J14" s="832" t="s">
        <v>18</v>
      </c>
      <c r="K14" s="484" t="s">
        <v>845</v>
      </c>
    </row>
    <row r="15" s="53" customFormat="1" ht="15" hidden="1" customHeight="1">
      <c r="C15" s="113"/>
      <c r="U15" s="165"/>
    </row>
    <row r="16" s="53" customFormat="1" ht="15" hidden="1" customHeight="1">
      <c r="C16" s="113"/>
      <c r="U16" s="165"/>
    </row>
    <row r="17" s="53" customFormat="1" ht="15" hidden="1" customHeight="1">
      <c r="C17" s="113"/>
      <c r="U17" s="165"/>
    </row>
    <row r="18" s="53" customFormat="1" ht="15" hidden="1" customHeight="1">
      <c r="C18" s="113"/>
      <c r="U18" s="165"/>
    </row>
    <row r="19" s="53" customFormat="1" ht="15" hidden="1" customHeight="1">
      <c r="C19" s="113"/>
      <c r="U19" s="165"/>
    </row>
    <row r="20" s="53" customFormat="1" ht="15" hidden="1" customHeight="1">
      <c r="C20" s="113"/>
      <c r="U20" s="165"/>
    </row>
    <row r="21" ht="15" customHeight="1">
      <c r="C21" s="148"/>
      <c r="D21" s="50"/>
      <c r="E21" s="50"/>
      <c r="F21" s="50"/>
      <c r="G21" s="50"/>
      <c r="H21" s="50"/>
      <c r="I21" s="50"/>
      <c r="J21" s="50"/>
    </row>
    <row r="22" ht="22.5" customHeight="1">
      <c r="C22" s="148"/>
      <c r="D22" s="451"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451"/>
      <c r="F22" s="451"/>
      <c r="G22" s="451"/>
      <c r="H22" s="451"/>
      <c r="I22" s="451"/>
      <c r="J22" s="322"/>
      <c r="K22" s="53"/>
    </row>
    <row r="23" ht="15" customHeight="1">
      <c r="C23" s="148"/>
      <c r="D23" s="302" t="str">
        <f>IF(org=0,"Не определено",org)</f>
        <v xml:space="preserve">филиал ПАО "ОГК-2" - Адлерская ТЭС</v>
      </c>
      <c r="E23" s="302"/>
      <c r="F23" s="302"/>
      <c r="G23" s="302"/>
      <c r="H23" s="302"/>
      <c r="I23" s="302"/>
      <c r="J23" s="322"/>
      <c r="K23" s="53"/>
    </row>
    <row r="24" ht="15" customHeight="1">
      <c r="C24" s="148"/>
      <c r="D24" s="50"/>
      <c r="E24" s="50"/>
      <c r="F24" s="50"/>
      <c r="G24" s="53">
        <v>22</v>
      </c>
      <c r="H24" s="341"/>
      <c r="I24" s="53">
        <v>22</v>
      </c>
      <c r="J24" s="341"/>
    </row>
    <row r="25" s="50" customFormat="1" ht="0.75" customHeight="1">
      <c r="A25" s="56"/>
      <c r="C25" s="148"/>
      <c r="D25" s="50"/>
      <c r="E25" s="50"/>
      <c r="F25" s="50"/>
      <c r="G25" s="53"/>
      <c r="H25" s="341"/>
      <c r="I25" s="53" t="s">
        <v>118</v>
      </c>
      <c r="J25" s="341"/>
      <c r="K25" s="53"/>
      <c r="U25" s="114"/>
    </row>
    <row r="26" ht="15" customHeight="1">
      <c r="C26" s="148"/>
      <c r="D26" s="700"/>
      <c r="E26" s="701" t="s">
        <v>107</v>
      </c>
      <c r="F26" s="702"/>
      <c r="G26" s="834" t="str">
        <f>IF(G25="","",INDEX(DIFFERENTIATION_UNMERGE_VD,MATCH(G25,DIFFERENTIATION_ID_DIFF,0)))</f>
        <v/>
      </c>
      <c r="H26" s="835"/>
      <c r="I26" s="834" t="str">
        <f>IF(I25="","",INDEX(DIFFERENTIATION_UNMERGE_VD,MATCH(I25,DIFFERENTIATION_ID_DIFF,0)))</f>
        <v xml:space="preserve">Сбыт. Тепловая энергия</v>
      </c>
      <c r="J26" s="835"/>
      <c r="K26" s="306" t="s">
        <v>289</v>
      </c>
    </row>
    <row r="27" s="50" customFormat="1" ht="15" customHeight="1">
      <c r="A27" s="56"/>
      <c r="C27" s="148"/>
      <c r="D27" s="700"/>
      <c r="E27" s="701" t="s">
        <v>546</v>
      </c>
      <c r="F27" s="702"/>
      <c r="G27" s="834" t="str">
        <f>IF(G25="","",INDEX(DIFFERENTIATION_UNMERGE_AREA,MATCH(G25,DIFFERENTIATION_ID_DIFF,0)))</f>
        <v/>
      </c>
      <c r="H27" s="835"/>
      <c r="I27" s="834" t="str">
        <f>IF(I25="","",INDEX(DIFFERENTIATION_UNMERGE_AREA,MATCH(I25,DIFFERENTIATION_ID_DIFF,0)))</f>
        <v xml:space="preserve">Территория 1</v>
      </c>
      <c r="J27" s="835"/>
      <c r="K27" s="308"/>
      <c r="U27" s="114"/>
    </row>
    <row r="28" s="50" customFormat="1" ht="15" customHeight="1">
      <c r="A28" s="56"/>
      <c r="C28" s="148"/>
      <c r="D28" s="700"/>
      <c r="E28" s="701" t="s">
        <v>547</v>
      </c>
      <c r="F28" s="702"/>
      <c r="G28" s="834" t="str">
        <f>IF(G25="","",INDEX(DIFFERENTIATION_UNMERGE_SYSTEM,MATCH(G25,DIFFERENTIATION_ID_DIFF,0)))</f>
        <v/>
      </c>
      <c r="H28" s="835"/>
      <c r="I28" s="834" t="str">
        <f>IF(I25="","",INDEX(DIFFERENTIATION_UNMERGE_SYSTEM,MATCH(I25,DIFFERENTIATION_ID_DIFF,0)))</f>
        <v xml:space="preserve">без дифференциации</v>
      </c>
      <c r="J28" s="835"/>
      <c r="K28" s="308"/>
      <c r="U28" s="114"/>
    </row>
    <row r="29" s="50" customFormat="1" ht="15" customHeight="1">
      <c r="A29" s="56"/>
      <c r="C29" s="148"/>
      <c r="D29" s="704" t="s">
        <v>288</v>
      </c>
      <c r="E29" s="705"/>
      <c r="F29" s="705"/>
      <c r="G29" s="701"/>
      <c r="H29" s="701"/>
      <c r="I29" s="701"/>
      <c r="J29" s="702"/>
      <c r="K29" s="308"/>
      <c r="U29" s="114"/>
    </row>
    <row r="30" ht="33.75" customHeight="1">
      <c r="C30" s="148"/>
      <c r="D30" s="156" t="s">
        <v>85</v>
      </c>
      <c r="E30" s="156" t="s">
        <v>290</v>
      </c>
      <c r="F30" s="156" t="s">
        <v>548</v>
      </c>
      <c r="G30" s="73" t="s">
        <v>291</v>
      </c>
      <c r="H30" s="156" t="s">
        <v>380</v>
      </c>
      <c r="I30" s="73" t="s">
        <v>291</v>
      </c>
      <c r="J30" s="156" t="s">
        <v>380</v>
      </c>
      <c r="K30" s="310"/>
    </row>
    <row r="31" ht="15" hidden="1" customHeight="1">
      <c r="C31" s="148"/>
      <c r="D31" s="207"/>
      <c r="E31" s="207"/>
      <c r="F31" s="207"/>
      <c r="G31" s="148"/>
      <c r="H31" s="148"/>
      <c r="I31" s="148"/>
      <c r="J31" s="148"/>
      <c r="K31" s="484"/>
    </row>
    <row r="32" ht="22.5" customHeight="1">
      <c r="A32" s="50"/>
      <c r="B32" s="50" t="s">
        <v>846</v>
      </c>
      <c r="C32" s="127"/>
      <c r="D32" s="836">
        <v>1</v>
      </c>
      <c r="E32" s="789" t="s">
        <v>847</v>
      </c>
      <c r="F32" s="72" t="s">
        <v>294</v>
      </c>
      <c r="G32" s="72" t="s">
        <v>294</v>
      </c>
      <c r="H32" s="72" t="s">
        <v>294</v>
      </c>
      <c r="I32" s="72" t="s">
        <v>294</v>
      </c>
      <c r="J32" s="72" t="s">
        <v>294</v>
      </c>
      <c r="K32" s="484"/>
    </row>
    <row r="33" ht="11.25" customHeight="1">
      <c r="A33" s="50"/>
      <c r="C33" s="50"/>
      <c r="D33" s="837"/>
      <c r="E33" s="174" t="s">
        <v>568</v>
      </c>
      <c r="F33" s="720"/>
      <c r="G33" s="720"/>
      <c r="H33" s="720"/>
      <c r="I33" s="720"/>
      <c r="J33" s="720"/>
      <c r="K33" s="721"/>
      <c r="U33" s="50"/>
    </row>
    <row r="34" ht="22.5" customHeight="1">
      <c r="A34" s="50"/>
      <c r="B34" s="322" t="s">
        <v>848</v>
      </c>
      <c r="C34" s="127"/>
      <c r="D34" s="836">
        <v>2</v>
      </c>
      <c r="E34" s="789" t="s">
        <v>849</v>
      </c>
      <c r="F34" s="72" t="s">
        <v>294</v>
      </c>
      <c r="G34" s="72" t="s">
        <v>294</v>
      </c>
      <c r="H34" s="72" t="s">
        <v>294</v>
      </c>
      <c r="I34" s="72"/>
      <c r="J34" s="72"/>
      <c r="K34" s="484"/>
    </row>
    <row r="35" ht="11.25" customHeight="1">
      <c r="A35" s="50"/>
      <c r="C35" s="50"/>
      <c r="D35" s="837"/>
      <c r="E35" s="174" t="s">
        <v>850</v>
      </c>
      <c r="F35" s="720"/>
      <c r="G35" s="838"/>
      <c r="H35" s="720"/>
      <c r="I35" s="838"/>
      <c r="J35" s="720"/>
      <c r="K35" s="721"/>
      <c r="U35" s="50"/>
    </row>
    <row r="36" ht="67.5" customHeight="1">
      <c r="A36" s="50"/>
      <c r="B36" s="50" t="s">
        <v>851</v>
      </c>
      <c r="C36" s="127"/>
      <c r="D36" s="836">
        <v>3</v>
      </c>
      <c r="E36" s="789" t="s">
        <v>852</v>
      </c>
      <c r="F36" s="144" t="s">
        <v>294</v>
      </c>
      <c r="G36" s="225" t="s">
        <v>853</v>
      </c>
      <c r="H36" s="72" t="s">
        <v>294</v>
      </c>
      <c r="I36" s="225" t="s">
        <v>854</v>
      </c>
      <c r="J36" s="72" t="s">
        <v>294</v>
      </c>
      <c r="K36" s="484" t="s">
        <v>855</v>
      </c>
    </row>
    <row r="37" ht="11.25" customHeight="1">
      <c r="A37" s="50"/>
      <c r="C37" s="50"/>
      <c r="D37" s="837"/>
      <c r="E37" s="174" t="s">
        <v>856</v>
      </c>
      <c r="F37" s="720"/>
      <c r="G37" s="838"/>
      <c r="H37" s="838"/>
      <c r="I37" s="838"/>
      <c r="J37" s="838"/>
      <c r="K37" s="721"/>
      <c r="U37" s="50"/>
    </row>
    <row r="38" ht="67.5" customHeight="1">
      <c r="A38" s="50"/>
      <c r="B38" s="50" t="s">
        <v>857</v>
      </c>
      <c r="C38" s="127"/>
      <c r="D38" s="836">
        <v>4</v>
      </c>
      <c r="E38" s="789" t="s">
        <v>858</v>
      </c>
      <c r="F38" s="144" t="s">
        <v>294</v>
      </c>
      <c r="G38" s="225" t="s">
        <v>853</v>
      </c>
      <c r="H38" s="156" t="s">
        <v>294</v>
      </c>
      <c r="I38" s="225" t="s">
        <v>854</v>
      </c>
      <c r="J38" s="156" t="s">
        <v>294</v>
      </c>
      <c r="K38" s="839" t="s">
        <v>859</v>
      </c>
    </row>
    <row r="39" ht="11.25" customHeight="1">
      <c r="A39" s="50"/>
      <c r="C39" s="50"/>
      <c r="D39" s="837"/>
      <c r="E39" s="174" t="s">
        <v>860</v>
      </c>
      <c r="F39" s="720"/>
      <c r="G39" s="720"/>
      <c r="H39" s="840"/>
      <c r="I39" s="720"/>
      <c r="J39" s="840"/>
      <c r="K39" s="721"/>
      <c r="U39" s="50"/>
    </row>
  </sheetData>
  <sheetProtection autoFilter="0" deleteColumns="0" deleteRows="0" formatCells="1" formatColumns="0" formatRows="0" insertColumns="1" insertHyperlinks="1" insertRows="0" pivotTables="1" selectLockedCells="0" selectUnlockedCells="0" sheet="0" sort="0"/>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3" disablePrompts="0">
    <dataValidation sqref="E30"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 sqref="I14 I4 I10:I11 G7 G14 I7 G10:G11 G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I36 G38 I38 G36" type="none" allowBlank="1" errorStyle="stop" imeMode="noControl" operator="between" prompt="Для выбора выполните двойной щелчок левой клавиши мыши по ячейке."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0600BA-009B-4516-BE67-00E50089006C}" type="textLength" allowBlank="1" error="Допускается ввод не более 900 символов!" errorStyle="stop" errorTitle="Ошибка" imeMode="noControl" operator="lessThanOrEqual" showDropDown="0" showErrorMessage="1" showInputMessage="1">
          <x14:formula1>
            <xm:f>900</xm:f>
          </x14:formula1>
          <xm:sqref>I3 I6 I9 I13 G6 G13 G9 G3</xm:sqref>
        </x14:dataValidation>
        <x14:dataValidation xr:uid="{00C30079-0087-4EAB-9613-00E10015001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J13:J14 J3:J4 J6:J7 H3:H4 H6:H7 H9:H11 H13:H14 J9:J11</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E4" zoomScale="85" workbookViewId="0">
      <selection activeCell="A1" activeCellId="0" sqref="A1"/>
    </sheetView>
  </sheetViews>
  <sheetFormatPr defaultColWidth="9.140625" defaultRowHeight="10.5" customHeight="1"/>
  <cols>
    <col customWidth="1" hidden="1" min="1" max="3" style="790" width="6.7109375"/>
    <col customWidth="1" hidden="1" min="4" max="4" style="53" width="6.7109375"/>
    <col customWidth="1" min="5" max="5" style="50" width="3.7109375"/>
    <col customWidth="1" min="6" max="6" style="50" width="6.28125"/>
    <col customWidth="1" min="7" max="7" style="50" width="37.7109375"/>
    <col customWidth="1" min="8" max="8" style="50" width="16.57421875"/>
    <col customWidth="1" min="9" max="10" style="50" width="19.7109375"/>
    <col customWidth="1" min="11" max="11" style="50" width="25.00390625"/>
    <col customWidth="1" min="12" max="13" style="50" width="25.7109375"/>
    <col customWidth="1" min="14" max="16" style="50" width="17.7109375"/>
    <col customWidth="1" min="17" max="24" style="50" width="19.7109375"/>
    <col customWidth="1" min="25" max="25" style="50" width="8.00390625"/>
    <col customWidth="1" min="26" max="26" style="50" width="3.28125"/>
    <col customWidth="1" min="27" max="27" style="50" width="6.28125"/>
    <col customWidth="1" min="28" max="28" style="50" width="34.140625"/>
    <col min="29" max="30" style="50" width="9.140625"/>
  </cols>
  <sheetData>
    <row r="1" s="53" customFormat="1" ht="10.5" hidden="1" customHeight="1">
      <c r="A1" s="790"/>
      <c r="B1" s="790"/>
      <c r="C1" s="790"/>
      <c r="E1" s="53"/>
      <c r="H1" s="53"/>
    </row>
    <row r="2" ht="10.5" hidden="1" customHeight="1"/>
    <row r="3" s="56" customFormat="1" ht="10.5" hidden="1" customHeight="1">
      <c r="A3" s="790"/>
      <c r="B3" s="790"/>
      <c r="C3" s="790"/>
      <c r="D3" s="53"/>
      <c r="E3" s="56"/>
      <c r="H3" s="56"/>
    </row>
    <row r="4" ht="3" customHeight="1"/>
    <row r="5" ht="25.5" customHeight="1">
      <c r="F5" s="451"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51"/>
      <c r="H5" s="451"/>
      <c r="I5" s="451"/>
      <c r="J5" s="451"/>
      <c r="K5" s="451"/>
      <c r="M5" s="106"/>
      <c r="AB5" s="50"/>
    </row>
    <row r="6" s="50" customFormat="1" ht="15.75" customHeight="1">
      <c r="A6" s="790"/>
      <c r="B6" s="790"/>
      <c r="C6" s="790"/>
      <c r="D6" s="53"/>
      <c r="E6" s="50"/>
      <c r="F6" s="302" t="str">
        <f>IF(org=0,"Не определено",org)</f>
        <v xml:space="preserve">филиал ПАО "ОГК-2" - Адлерская ТЭС</v>
      </c>
      <c r="G6" s="302"/>
      <c r="H6" s="302"/>
      <c r="I6" s="302"/>
      <c r="J6" s="302"/>
      <c r="K6" s="302"/>
      <c r="M6" s="106"/>
      <c r="AB6" s="50"/>
    </row>
    <row r="8" ht="10.5" customHeight="1">
      <c r="A8" s="790"/>
      <c r="B8" s="790"/>
      <c r="C8" s="790"/>
      <c r="F8" s="73" t="s">
        <v>288</v>
      </c>
      <c r="G8" s="144"/>
      <c r="H8" s="144"/>
      <c r="I8" s="144"/>
      <c r="J8" s="144"/>
      <c r="K8" s="144"/>
      <c r="L8" s="144"/>
      <c r="M8" s="144"/>
      <c r="N8" s="144"/>
      <c r="O8" s="144"/>
      <c r="P8" s="144"/>
      <c r="Q8" s="144"/>
      <c r="R8" s="144"/>
      <c r="S8" s="144"/>
      <c r="T8" s="144"/>
      <c r="U8" s="144"/>
      <c r="V8" s="144"/>
      <c r="W8" s="144"/>
      <c r="X8" s="144"/>
      <c r="Y8" s="144"/>
      <c r="Z8" s="144"/>
      <c r="AA8" s="144"/>
      <c r="AB8" s="72"/>
    </row>
    <row r="9" ht="41.25" customHeight="1">
      <c r="A9" s="841"/>
      <c r="B9" s="841"/>
      <c r="C9" s="841"/>
      <c r="F9" s="156" t="s">
        <v>85</v>
      </c>
      <c r="G9" s="156" t="s">
        <v>861</v>
      </c>
      <c r="H9" s="306" t="s">
        <v>862</v>
      </c>
      <c r="I9" s="156" t="s">
        <v>863</v>
      </c>
      <c r="J9" s="156" t="s">
        <v>864</v>
      </c>
      <c r="K9" s="156" t="s">
        <v>865</v>
      </c>
      <c r="L9" s="156" t="s">
        <v>866</v>
      </c>
      <c r="M9" s="156" t="s">
        <v>867</v>
      </c>
      <c r="N9" s="347" t="s">
        <v>868</v>
      </c>
      <c r="O9" s="347"/>
      <c r="P9" s="347"/>
      <c r="Q9" s="548" t="s">
        <v>869</v>
      </c>
      <c r="R9" s="549"/>
      <c r="S9" s="549"/>
      <c r="T9" s="550"/>
      <c r="U9" s="548" t="s">
        <v>870</v>
      </c>
      <c r="V9" s="549"/>
      <c r="W9" s="549"/>
      <c r="X9" s="550"/>
      <c r="Y9" s="73" t="s">
        <v>871</v>
      </c>
      <c r="Z9" s="144"/>
      <c r="AA9" s="144"/>
      <c r="AB9" s="72"/>
    </row>
    <row r="10" ht="41.25" customHeight="1">
      <c r="A10" s="841"/>
      <c r="B10" s="841"/>
      <c r="C10" s="841"/>
      <c r="F10" s="306"/>
      <c r="G10" s="306"/>
      <c r="H10" s="161"/>
      <c r="I10" s="306"/>
      <c r="J10" s="306"/>
      <c r="K10" s="306"/>
      <c r="L10" s="306"/>
      <c r="M10" s="306"/>
      <c r="N10" s="842" t="s">
        <v>872</v>
      </c>
      <c r="O10" s="842" t="s">
        <v>873</v>
      </c>
      <c r="P10" s="551" t="s">
        <v>874</v>
      </c>
      <c r="Q10" s="842" t="s">
        <v>86</v>
      </c>
      <c r="R10" s="842" t="s">
        <v>875</v>
      </c>
      <c r="S10" s="842" t="s">
        <v>876</v>
      </c>
      <c r="T10" s="644" t="s">
        <v>877</v>
      </c>
      <c r="U10" s="842" t="s">
        <v>86</v>
      </c>
      <c r="V10" s="842" t="s">
        <v>878</v>
      </c>
      <c r="W10" s="842" t="s">
        <v>876</v>
      </c>
      <c r="X10" s="644" t="s">
        <v>877</v>
      </c>
      <c r="Y10" s="547" t="s">
        <v>879</v>
      </c>
      <c r="Z10" s="73" t="s">
        <v>85</v>
      </c>
      <c r="AA10" s="72"/>
      <c r="AB10" s="156" t="s">
        <v>880</v>
      </c>
    </row>
    <row r="11" s="57" customFormat="1" ht="5.25" hidden="1" customHeight="1">
      <c r="A11" s="529"/>
      <c r="B11" s="529"/>
      <c r="C11" s="529"/>
      <c r="E11" s="131"/>
      <c r="F11" s="637" t="s">
        <v>366</v>
      </c>
      <c r="G11" s="843"/>
      <c r="H11" s="429"/>
      <c r="I11" s="429"/>
      <c r="J11" s="429"/>
      <c r="K11" s="457"/>
      <c r="L11" s="457"/>
      <c r="M11" s="457"/>
      <c r="N11" s="429"/>
      <c r="O11" s="429"/>
      <c r="P11" s="156"/>
      <c r="Q11" s="312"/>
      <c r="R11" s="312"/>
      <c r="S11" s="312"/>
      <c r="T11" s="429"/>
      <c r="U11" s="312"/>
      <c r="V11" s="312"/>
      <c r="W11" s="312"/>
      <c r="X11" s="429"/>
      <c r="Y11" s="219"/>
      <c r="Z11" s="219"/>
      <c r="AA11" s="219"/>
      <c r="AB11" s="219"/>
      <c r="AD11" s="57" t="s">
        <v>881</v>
      </c>
    </row>
    <row r="12" s="57" customFormat="1" ht="5.25" hidden="1" customHeight="1">
      <c r="A12" s="529"/>
      <c r="B12" s="529"/>
      <c r="C12" s="529"/>
      <c r="E12" s="57"/>
      <c r="F12" s="637"/>
      <c r="G12" s="843"/>
      <c r="H12" s="429"/>
      <c r="I12" s="429"/>
      <c r="J12" s="429"/>
      <c r="K12" s="457"/>
      <c r="L12" s="457"/>
      <c r="M12" s="457"/>
      <c r="N12" s="429"/>
      <c r="O12" s="429"/>
      <c r="P12" s="156"/>
      <c r="Q12" s="312"/>
      <c r="R12" s="312"/>
      <c r="S12" s="312"/>
      <c r="T12" s="429"/>
      <c r="U12" s="312"/>
      <c r="V12" s="312"/>
      <c r="W12" s="312"/>
      <c r="X12" s="429"/>
      <c r="Y12" s="844"/>
      <c r="Z12" s="844"/>
      <c r="AA12" s="844"/>
      <c r="AB12" s="844"/>
    </row>
    <row r="13" ht="10.5" customHeight="1">
      <c r="F13" s="623"/>
      <c r="G13" s="174" t="s">
        <v>882</v>
      </c>
      <c r="H13" s="174"/>
      <c r="I13" s="720"/>
      <c r="J13" s="720"/>
      <c r="K13" s="720"/>
      <c r="L13" s="720"/>
      <c r="M13" s="720"/>
      <c r="N13" s="720"/>
      <c r="O13" s="720"/>
      <c r="P13" s="720"/>
      <c r="Q13" s="720"/>
      <c r="R13" s="720"/>
      <c r="S13" s="720"/>
      <c r="T13" s="720"/>
      <c r="U13" s="720"/>
      <c r="V13" s="720"/>
      <c r="W13" s="720"/>
      <c r="X13" s="720"/>
      <c r="Y13" s="720"/>
      <c r="Z13" s="840"/>
      <c r="AA13" s="840"/>
      <c r="AB13" s="845"/>
    </row>
    <row r="15" s="57" customFormat="1" ht="10.5" customHeight="1">
      <c r="A15" s="529"/>
      <c r="B15" s="529"/>
      <c r="C15" s="529"/>
      <c r="E15" s="57"/>
      <c r="H15" s="57">
        <f>_xlfn.IFERROR(MATCH("нет",IP_MAIN_DIFFERENTIATION_EVENTS_FLAG,0),0)</f>
        <v>0</v>
      </c>
    </row>
  </sheetData>
  <sheetProtection autoFilter="0" deleteColumns="0" deleteRows="0" formatCells="1" formatColumns="0" formatRows="0" insertColumns="1" insertHyperlinks="1" insertRows="0" pivotTables="1" selectLockedCells="0" selectUnlockedCells="0" sheet="0" sort="0"/>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E4" zoomScale="90" workbookViewId="0">
      <selection activeCell="A1" activeCellId="0" sqref="A1"/>
    </sheetView>
  </sheetViews>
  <sheetFormatPr defaultColWidth="9.140625" defaultRowHeight="10.5" customHeight="1"/>
  <cols>
    <col customWidth="1" hidden="1" min="1" max="3" style="790" width="4.140625"/>
    <col customWidth="1" hidden="1" min="4" max="4" style="53" width="4.140625"/>
    <col customWidth="1" min="5" max="5" style="50" width="3.7109375"/>
    <col customWidth="1" min="6" max="6" style="50" width="14.421875"/>
    <col customWidth="1" min="7" max="7" style="50" width="3.7109375"/>
    <col customWidth="1" min="8" max="8" style="50" width="7.7109375"/>
    <col customWidth="1" min="9" max="10" style="50" width="16.7109375"/>
    <col customWidth="1" min="11" max="11" style="50" width="25.7109375"/>
    <col customWidth="1" min="12" max="12" style="50" width="8.00390625"/>
    <col customWidth="1" min="13" max="13" style="50" width="15.57421875"/>
    <col customWidth="1" min="14" max="14" style="50" width="3.28125"/>
    <col customWidth="1" min="15" max="15" style="50" width="4.7109375"/>
    <col customWidth="1" min="16" max="16" style="50" width="9.00390625"/>
    <col customWidth="1" min="17" max="17" style="50" width="21.7109375"/>
    <col customWidth="1" min="18" max="18" style="50" width="14.7109375"/>
    <col customWidth="1" min="19" max="20" style="50" width="17.7109375"/>
    <col customWidth="1" min="21" max="21" style="50" width="9.7109375"/>
    <col customWidth="1" min="22" max="22" style="50" width="12.7109375"/>
    <col customWidth="1" min="23" max="23" style="50" width="9.7109375"/>
    <col customWidth="1" min="24" max="24" style="50" width="21.7109375"/>
    <col customWidth="1" min="25" max="25" style="50" width="12.7109375"/>
    <col customWidth="1" min="26" max="26" style="50" width="3.28125"/>
    <col customWidth="1" min="27" max="27" style="50" width="7.140625"/>
    <col customWidth="1" min="28" max="28" style="50" width="38.421875"/>
    <col customWidth="1" min="29" max="29" style="50" width="15.7109375"/>
    <col customWidth="1" min="30" max="30" style="50" width="37.57421875"/>
    <col customWidth="1" min="31" max="31" style="50" width="15.7109375"/>
    <col customWidth="1" min="32" max="37" style="50" width="16.7109375"/>
    <col min="38" max="58" style="50" width="9.140625"/>
  </cols>
  <sheetData>
    <row r="1" s="53" customFormat="1" ht="10.5" hidden="1" customHeight="1">
      <c r="A1" s="790"/>
      <c r="B1" s="790"/>
      <c r="C1" s="790"/>
      <c r="E1" s="53"/>
      <c r="H1" s="53"/>
      <c r="L1" s="53"/>
      <c r="M1" s="53"/>
      <c r="AD1" s="53"/>
      <c r="AH1" s="53"/>
      <c r="AI1" s="53"/>
    </row>
    <row r="2" ht="10.5" hidden="1" customHeight="1"/>
    <row r="3" s="56" customFormat="1" ht="10.5" hidden="1" customHeight="1">
      <c r="A3" s="790"/>
      <c r="B3" s="790"/>
      <c r="C3" s="790"/>
      <c r="D3" s="53"/>
      <c r="E3" s="56"/>
      <c r="H3" s="56"/>
      <c r="L3" s="56"/>
      <c r="M3" s="56"/>
      <c r="AD3" s="56"/>
      <c r="AH3" s="56"/>
      <c r="AI3" s="56"/>
    </row>
    <row r="4" ht="3" customHeight="1"/>
    <row r="5" ht="25.5" customHeight="1">
      <c r="F5" s="451"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51"/>
      <c r="H5" s="451"/>
      <c r="I5" s="451"/>
      <c r="J5" s="451"/>
      <c r="K5" s="451"/>
      <c r="L5" s="698"/>
      <c r="M5" s="698"/>
      <c r="AG5" s="50"/>
      <c r="AH5" s="50"/>
    </row>
    <row r="6" ht="10.5" customHeight="1">
      <c r="F6" s="302" t="str">
        <f>IF(org=0,"Не определено",org)</f>
        <v xml:space="preserve">филиал ПАО "ОГК-2" - Адлерская ТЭС</v>
      </c>
      <c r="G6" s="302"/>
      <c r="H6" s="302"/>
      <c r="I6" s="302"/>
      <c r="J6" s="302"/>
      <c r="K6" s="302"/>
      <c r="L6" s="698"/>
      <c r="M6" s="698"/>
    </row>
    <row r="7" ht="11.25" customHeight="1">
      <c r="E7" s="89"/>
      <c r="F7" s="846"/>
      <c r="G7" s="846"/>
      <c r="H7" s="846"/>
      <c r="I7" s="846"/>
      <c r="J7" s="846"/>
      <c r="K7" s="847"/>
      <c r="L7" s="847"/>
      <c r="M7" s="847"/>
      <c r="N7" s="846"/>
      <c r="O7" s="846"/>
      <c r="P7" s="846"/>
      <c r="Q7" s="847"/>
      <c r="R7" s="846"/>
      <c r="S7" s="846"/>
      <c r="T7" s="846"/>
      <c r="U7" s="846"/>
      <c r="V7" s="846"/>
      <c r="W7" s="846"/>
      <c r="X7" s="846"/>
      <c r="Y7" s="846"/>
      <c r="Z7" s="846"/>
      <c r="AA7" s="846"/>
      <c r="AB7" s="846"/>
      <c r="AC7" s="848"/>
      <c r="AD7" s="848"/>
      <c r="AE7" s="848"/>
      <c r="AF7" s="846"/>
      <c r="AG7" s="846"/>
      <c r="AH7" s="846"/>
      <c r="AI7" s="846"/>
      <c r="AJ7" s="846"/>
      <c r="AK7" s="846"/>
      <c r="AL7" s="53"/>
      <c r="AM7" s="53"/>
      <c r="AN7" s="53"/>
      <c r="AO7" s="142"/>
      <c r="AP7" s="142"/>
      <c r="AQ7" s="142"/>
      <c r="AR7" s="142"/>
      <c r="AS7" s="142"/>
      <c r="AT7" s="142"/>
      <c r="AU7" s="142"/>
      <c r="AV7" s="142"/>
      <c r="AW7" s="142"/>
      <c r="AX7" s="142"/>
      <c r="AY7" s="142"/>
      <c r="AZ7" s="142"/>
      <c r="BA7" s="142"/>
      <c r="BB7" s="142"/>
      <c r="BC7" s="142"/>
      <c r="BD7" s="142"/>
      <c r="BE7" s="142"/>
      <c r="BF7" s="142"/>
    </row>
    <row r="8" ht="10.5" customHeight="1">
      <c r="E8" s="89"/>
      <c r="F8" s="849" t="s">
        <v>288</v>
      </c>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1"/>
      <c r="AL8" s="852"/>
      <c r="AM8" s="142"/>
      <c r="AN8" s="142"/>
      <c r="AO8" s="142"/>
      <c r="AP8" s="142"/>
      <c r="AQ8" s="142"/>
      <c r="AR8" s="142"/>
      <c r="AS8" s="142"/>
      <c r="AT8" s="142"/>
      <c r="AU8" s="142"/>
      <c r="AV8" s="142"/>
      <c r="AW8" s="142"/>
      <c r="AX8" s="142"/>
      <c r="AY8" s="142"/>
      <c r="AZ8" s="142"/>
      <c r="BA8" s="142"/>
      <c r="BB8" s="142"/>
      <c r="BC8" s="142"/>
      <c r="BD8" s="142"/>
      <c r="BE8" s="142"/>
      <c r="BF8" s="142"/>
    </row>
    <row r="9" ht="23.25" customHeight="1">
      <c r="A9" s="841"/>
      <c r="B9" s="841"/>
      <c r="C9" s="841"/>
      <c r="E9" s="89"/>
      <c r="F9" s="347" t="s">
        <v>883</v>
      </c>
      <c r="G9" s="643" t="s">
        <v>884</v>
      </c>
      <c r="H9" s="853"/>
      <c r="I9" s="156" t="s">
        <v>885</v>
      </c>
      <c r="J9" s="156"/>
      <c r="K9" s="156" t="s">
        <v>886</v>
      </c>
      <c r="L9" s="156"/>
      <c r="M9" s="156"/>
      <c r="N9" s="156"/>
      <c r="O9" s="156"/>
      <c r="P9" s="156"/>
      <c r="Q9" s="156"/>
      <c r="R9" s="156"/>
      <c r="S9" s="156"/>
      <c r="T9" s="156"/>
      <c r="U9" s="156"/>
      <c r="V9" s="156"/>
      <c r="W9" s="156"/>
      <c r="X9" s="156"/>
      <c r="Y9" s="156"/>
      <c r="Z9" s="303" t="s">
        <v>887</v>
      </c>
      <c r="AA9" s="304"/>
      <c r="AB9" s="156" t="s">
        <v>888</v>
      </c>
      <c r="AC9" s="156"/>
      <c r="AD9" s="156"/>
      <c r="AE9" s="156"/>
      <c r="AF9" s="306" t="s">
        <v>889</v>
      </c>
      <c r="AG9" s="156" t="s">
        <v>890</v>
      </c>
      <c r="AH9" s="156"/>
      <c r="AI9" s="306" t="s">
        <v>891</v>
      </c>
      <c r="AJ9" s="156" t="s">
        <v>892</v>
      </c>
      <c r="AK9" s="156"/>
      <c r="AL9" s="50"/>
      <c r="AM9" s="142"/>
      <c r="AN9" s="142"/>
      <c r="AO9" s="142"/>
      <c r="AP9" s="142"/>
      <c r="AQ9" s="142"/>
      <c r="AR9" s="142"/>
      <c r="AS9" s="142"/>
      <c r="AT9" s="142"/>
      <c r="AU9" s="142"/>
      <c r="AV9" s="142"/>
      <c r="AW9" s="142"/>
      <c r="AX9" s="142"/>
      <c r="AY9" s="142"/>
      <c r="AZ9" s="142"/>
      <c r="BA9" s="142"/>
      <c r="BB9" s="142"/>
      <c r="BC9" s="142"/>
      <c r="BD9" s="142"/>
      <c r="BE9" s="142"/>
      <c r="BF9" s="142"/>
    </row>
    <row r="10" ht="23.25" customHeight="1">
      <c r="A10" s="841"/>
      <c r="B10" s="841"/>
      <c r="C10" s="841"/>
      <c r="E10" s="89"/>
      <c r="F10" s="347"/>
      <c r="G10" s="646"/>
      <c r="H10" s="359"/>
      <c r="I10" s="156"/>
      <c r="J10" s="156"/>
      <c r="K10" s="156" t="s">
        <v>893</v>
      </c>
      <c r="L10" s="73" t="s">
        <v>894</v>
      </c>
      <c r="M10" s="72"/>
      <c r="N10" s="156" t="s">
        <v>895</v>
      </c>
      <c r="O10" s="156"/>
      <c r="P10" s="156"/>
      <c r="Q10" s="156"/>
      <c r="R10" s="156"/>
      <c r="S10" s="156"/>
      <c r="T10" s="156"/>
      <c r="U10" s="156"/>
      <c r="V10" s="156"/>
      <c r="W10" s="156"/>
      <c r="X10" s="156"/>
      <c r="Y10" s="156"/>
      <c r="Z10" s="307"/>
      <c r="AA10" s="308"/>
      <c r="AB10" s="156"/>
      <c r="AC10" s="156"/>
      <c r="AD10" s="156"/>
      <c r="AE10" s="156"/>
      <c r="AF10" s="305"/>
      <c r="AG10" s="156"/>
      <c r="AH10" s="156"/>
      <c r="AI10" s="305"/>
      <c r="AJ10" s="156"/>
      <c r="AK10" s="156"/>
      <c r="AL10" s="50"/>
      <c r="AM10" s="142"/>
      <c r="AN10" s="142"/>
      <c r="AO10" s="142"/>
      <c r="AP10" s="142"/>
      <c r="AQ10" s="142"/>
      <c r="AR10" s="142"/>
      <c r="AS10" s="142"/>
      <c r="AT10" s="142"/>
      <c r="AU10" s="142"/>
      <c r="AV10" s="142"/>
      <c r="AW10" s="142"/>
      <c r="AX10" s="142"/>
      <c r="AY10" s="142"/>
      <c r="AZ10" s="142"/>
      <c r="BA10" s="142"/>
      <c r="BB10" s="142"/>
      <c r="BC10" s="142"/>
      <c r="BD10" s="142"/>
      <c r="BE10" s="142"/>
      <c r="BF10" s="142"/>
    </row>
    <row r="11" s="50" customFormat="1" ht="23.25" customHeight="1">
      <c r="A11" s="841"/>
      <c r="B11" s="841"/>
      <c r="C11" s="841"/>
      <c r="D11" s="53"/>
      <c r="E11" s="89"/>
      <c r="F11" s="347"/>
      <c r="G11" s="646"/>
      <c r="H11" s="359"/>
      <c r="I11" s="156"/>
      <c r="J11" s="156"/>
      <c r="K11" s="156"/>
      <c r="L11" s="306" t="s">
        <v>896</v>
      </c>
      <c r="M11" s="306" t="s">
        <v>897</v>
      </c>
      <c r="N11" s="156" t="s">
        <v>898</v>
      </c>
      <c r="O11" s="156"/>
      <c r="P11" s="247" t="s">
        <v>879</v>
      </c>
      <c r="Q11" s="247" t="s">
        <v>899</v>
      </c>
      <c r="R11" s="247" t="s">
        <v>900</v>
      </c>
      <c r="S11" s="247" t="s">
        <v>901</v>
      </c>
      <c r="T11" s="247"/>
      <c r="U11" s="247"/>
      <c r="V11" s="247"/>
      <c r="W11" s="247"/>
      <c r="X11" s="247"/>
      <c r="Y11" s="247"/>
      <c r="Z11" s="307"/>
      <c r="AA11" s="308"/>
      <c r="AB11" s="156" t="s">
        <v>902</v>
      </c>
      <c r="AC11" s="156"/>
      <c r="AD11" s="73" t="s">
        <v>903</v>
      </c>
      <c r="AE11" s="72"/>
      <c r="AF11" s="305"/>
      <c r="AG11" s="156"/>
      <c r="AH11" s="156"/>
      <c r="AI11" s="305"/>
      <c r="AJ11" s="156"/>
      <c r="AK11" s="156"/>
      <c r="AL11" s="50"/>
      <c r="AM11" s="142"/>
      <c r="AN11" s="142"/>
      <c r="AO11" s="142"/>
      <c r="AP11" s="142"/>
      <c r="AQ11" s="142"/>
      <c r="AR11" s="142"/>
      <c r="AS11" s="142"/>
      <c r="AT11" s="142"/>
      <c r="AU11" s="142"/>
      <c r="AV11" s="142"/>
      <c r="AW11" s="142"/>
      <c r="AX11" s="142"/>
      <c r="AY11" s="142"/>
      <c r="AZ11" s="142"/>
      <c r="BA11" s="142"/>
      <c r="BB11" s="142"/>
      <c r="BC11" s="142"/>
      <c r="BD11" s="142"/>
      <c r="BE11" s="142"/>
      <c r="BF11" s="142"/>
    </row>
    <row r="12" ht="33.75" customHeight="1">
      <c r="A12" s="841"/>
      <c r="B12" s="841"/>
      <c r="C12" s="841"/>
      <c r="E12" s="89"/>
      <c r="F12" s="347"/>
      <c r="G12" s="651"/>
      <c r="H12" s="854"/>
      <c r="I12" s="156" t="s">
        <v>86</v>
      </c>
      <c r="J12" s="156" t="s">
        <v>904</v>
      </c>
      <c r="K12" s="156"/>
      <c r="L12" s="161"/>
      <c r="M12" s="161"/>
      <c r="N12" s="156"/>
      <c r="O12" s="156"/>
      <c r="P12" s="247"/>
      <c r="Q12" s="247"/>
      <c r="R12" s="247"/>
      <c r="S12" s="247" t="s">
        <v>83</v>
      </c>
      <c r="T12" s="247" t="s">
        <v>84</v>
      </c>
      <c r="U12" s="247" t="s">
        <v>82</v>
      </c>
      <c r="V12" s="247" t="s">
        <v>905</v>
      </c>
      <c r="W12" s="247" t="s">
        <v>82</v>
      </c>
      <c r="X12" s="247" t="s">
        <v>906</v>
      </c>
      <c r="Y12" s="247" t="s">
        <v>907</v>
      </c>
      <c r="Z12" s="309"/>
      <c r="AA12" s="310"/>
      <c r="AB12" s="156" t="s">
        <v>908</v>
      </c>
      <c r="AC12" s="156" t="s">
        <v>909</v>
      </c>
      <c r="AD12" s="156" t="s">
        <v>908</v>
      </c>
      <c r="AE12" s="156" t="s">
        <v>909</v>
      </c>
      <c r="AF12" s="161"/>
      <c r="AG12" s="156" t="s">
        <v>910</v>
      </c>
      <c r="AH12" s="156" t="s">
        <v>911</v>
      </c>
      <c r="AI12" s="161"/>
      <c r="AJ12" s="156" t="s">
        <v>910</v>
      </c>
      <c r="AK12" s="156" t="s">
        <v>911</v>
      </c>
      <c r="AL12" s="50"/>
      <c r="AM12" s="142"/>
      <c r="AN12" s="142"/>
      <c r="AO12" s="142"/>
      <c r="AP12" s="142"/>
      <c r="AQ12" s="142"/>
      <c r="AR12" s="142"/>
      <c r="AS12" s="142"/>
      <c r="AT12" s="142"/>
      <c r="AU12" s="142"/>
      <c r="AV12" s="142"/>
      <c r="AW12" s="142"/>
      <c r="AX12" s="142"/>
      <c r="AY12" s="142"/>
      <c r="AZ12" s="142"/>
      <c r="BA12" s="142"/>
      <c r="BB12" s="142"/>
      <c r="BC12" s="142"/>
      <c r="BD12" s="142"/>
      <c r="BE12" s="142"/>
      <c r="BF12" s="142"/>
    </row>
    <row r="13" ht="0.75" customHeight="1">
      <c r="E13" s="89"/>
      <c r="F13" s="89">
        <v>0</v>
      </c>
      <c r="G13" s="89"/>
      <c r="H13" s="89"/>
      <c r="I13" s="89"/>
      <c r="J13" s="89"/>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852"/>
      <c r="AM13" s="142"/>
      <c r="AN13" s="142"/>
      <c r="AO13" s="142"/>
      <c r="AP13" s="142"/>
      <c r="AQ13" s="142"/>
      <c r="AR13" s="142"/>
      <c r="AS13" s="142"/>
      <c r="AT13" s="142"/>
      <c r="AU13" s="142"/>
      <c r="AV13" s="142"/>
      <c r="AW13" s="142"/>
      <c r="AX13" s="142"/>
      <c r="AY13" s="142"/>
      <c r="AZ13" s="142"/>
      <c r="BA13" s="142"/>
      <c r="BB13" s="142"/>
      <c r="BC13" s="142"/>
      <c r="BD13" s="142"/>
      <c r="BE13" s="142"/>
      <c r="BF13" s="142"/>
    </row>
    <row r="14" ht="10.5" customHeight="1">
      <c r="E14" s="142"/>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142"/>
      <c r="AM14" s="142"/>
      <c r="AN14" s="142"/>
      <c r="AO14" s="142"/>
      <c r="AP14" s="142"/>
      <c r="AQ14" s="142"/>
      <c r="AR14" s="142"/>
      <c r="AS14" s="142"/>
      <c r="AT14" s="142"/>
      <c r="AU14" s="142"/>
      <c r="AV14" s="142"/>
      <c r="AW14" s="142"/>
      <c r="AX14" s="142"/>
      <c r="AY14" s="142"/>
      <c r="AZ14" s="142"/>
      <c r="BA14" s="142"/>
      <c r="BB14" s="142"/>
      <c r="BC14" s="142"/>
      <c r="BD14" s="142"/>
      <c r="BE14" s="142"/>
      <c r="BF14" s="142"/>
    </row>
    <row r="15" ht="12.75" customHeight="1">
      <c r="E15" s="142"/>
      <c r="F15" s="106" t="s">
        <v>912</v>
      </c>
      <c r="G15" s="106"/>
      <c r="H15" s="106"/>
      <c r="I15" s="106"/>
      <c r="J15" s="106"/>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row>
    <row r="17" ht="10.5" customHeight="1">
      <c r="E17" s="142"/>
      <c r="F17" s="322"/>
      <c r="G17" s="322"/>
      <c r="H17" s="322"/>
      <c r="I17" s="322"/>
      <c r="J17" s="32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row>
    <row r="18" ht="10.5" customHeight="1">
      <c r="E18" s="142"/>
      <c r="F18" s="322"/>
      <c r="G18" s="322"/>
      <c r="H18" s="322"/>
      <c r="I18" s="322"/>
      <c r="J18" s="32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row>
    <row r="19" ht="10.5" customHeight="1">
      <c r="E19" s="142"/>
      <c r="F19" s="322"/>
      <c r="G19" s="322"/>
      <c r="H19" s="322"/>
      <c r="I19" s="322"/>
      <c r="J19" s="32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row>
  </sheetData>
  <sheetProtection autoFilter="0" deleteColumns="0" deleteRows="0" formatCells="1" formatColumns="0" formatRows="0" insertColumns="1" insertHyperlinks="1" insertRows="0" pivotTables="1" selectLockedCells="0" selectUnlockedCells="0" sheet="0" sort="0"/>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E4" zoomScale="85" workbookViewId="0">
      <selection activeCell="A1" activeCellId="0" sqref="A1"/>
    </sheetView>
  </sheetViews>
  <sheetFormatPr defaultColWidth="9.140625" defaultRowHeight="10.5" customHeight="1"/>
  <cols>
    <col customWidth="1" hidden="1" min="1" max="3" style="790" width="4.140625"/>
    <col customWidth="1" hidden="1" min="4" max="4" style="53" width="4.140625"/>
    <col customWidth="1" min="5" max="5" style="50" width="3.7109375"/>
    <col customWidth="1" min="6" max="6" style="50" width="6.28125"/>
    <col customWidth="1" min="7" max="7" style="50" width="60.140625"/>
    <col customWidth="1" hidden="1" min="8" max="9" style="50" width="21.7109375"/>
    <col customWidth="1" min="10" max="10" style="50" width="0.140625"/>
    <col customWidth="1" min="11" max="11" style="50" width="1.7109375"/>
    <col min="12" max="22" style="50" width="9.140625"/>
  </cols>
  <sheetData>
    <row r="1" s="53" customFormat="1" ht="10.5" hidden="1" customHeight="1">
      <c r="A1" s="790"/>
      <c r="B1" s="790"/>
      <c r="C1" s="790"/>
      <c r="E1" s="53"/>
    </row>
    <row r="2" ht="10.5" hidden="1" customHeight="1"/>
    <row r="3" s="56" customFormat="1" ht="10.5" hidden="1" customHeight="1">
      <c r="A3" s="790"/>
      <c r="B3" s="790"/>
      <c r="C3" s="790"/>
      <c r="D3" s="53"/>
      <c r="E3" s="56"/>
    </row>
    <row r="4" ht="3" customHeight="1"/>
    <row r="5" ht="25.5" customHeight="1">
      <c r="F5" s="451" t="str">
        <f>IP_NAME_FORM&amp;"
Финансовый план"</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451"/>
      <c r="H5" s="451"/>
      <c r="I5" s="451"/>
      <c r="J5" s="451"/>
    </row>
    <row r="6" ht="10.5" customHeight="1">
      <c r="F6" s="302" t="str">
        <f>IF(org=0,"Не определено",org)</f>
        <v xml:space="preserve">филиал ПАО "ОГК-2" - Адлерская ТЭС</v>
      </c>
      <c r="G6" s="302"/>
      <c r="H6" s="302"/>
      <c r="I6" s="302"/>
      <c r="J6" s="302"/>
    </row>
    <row r="7" ht="11.25" customHeight="1">
      <c r="E7" s="89"/>
      <c r="F7" s="855"/>
      <c r="G7" s="855"/>
      <c r="H7" s="855"/>
      <c r="I7" s="855"/>
      <c r="J7" s="855"/>
      <c r="K7" s="142"/>
      <c r="L7" s="142"/>
      <c r="M7" s="142"/>
      <c r="N7" s="142"/>
      <c r="O7" s="142"/>
      <c r="P7" s="142"/>
      <c r="Q7" s="142"/>
      <c r="R7" s="142"/>
      <c r="S7" s="142"/>
      <c r="T7" s="142"/>
      <c r="U7" s="142"/>
      <c r="V7" s="142"/>
    </row>
    <row r="8" s="57" customFormat="1" ht="5.25" customHeight="1">
      <c r="A8" s="529"/>
      <c r="B8" s="529"/>
      <c r="C8" s="529"/>
      <c r="E8" s="166"/>
      <c r="F8" s="856"/>
      <c r="G8" s="856"/>
      <c r="H8" s="856"/>
      <c r="I8" s="856"/>
      <c r="J8" s="856"/>
      <c r="K8" s="166"/>
      <c r="L8" s="166"/>
      <c r="M8" s="166"/>
      <c r="N8" s="166"/>
      <c r="O8" s="166"/>
      <c r="P8" s="166"/>
      <c r="Q8" s="166"/>
      <c r="R8" s="166"/>
      <c r="S8" s="166"/>
      <c r="T8" s="166"/>
      <c r="U8" s="166"/>
      <c r="V8" s="166"/>
    </row>
    <row r="9" ht="10.5" customHeight="1">
      <c r="E9" s="89"/>
      <c r="F9" s="857" t="s">
        <v>288</v>
      </c>
      <c r="G9" s="858"/>
      <c r="H9" s="858"/>
      <c r="I9" s="858"/>
      <c r="J9" s="858"/>
      <c r="K9" s="859"/>
      <c r="L9" s="142"/>
      <c r="M9" s="142"/>
      <c r="N9" s="142"/>
      <c r="O9" s="142"/>
      <c r="P9" s="142"/>
      <c r="Q9" s="142"/>
      <c r="R9" s="142"/>
      <c r="S9" s="142"/>
      <c r="T9" s="142"/>
      <c r="U9" s="142"/>
      <c r="V9" s="142"/>
    </row>
    <row r="10" ht="24" customHeight="1">
      <c r="E10" s="142"/>
      <c r="F10" s="860" t="s">
        <v>85</v>
      </c>
      <c r="G10" s="252" t="s">
        <v>913</v>
      </c>
      <c r="H10" s="429" t="s">
        <v>914</v>
      </c>
      <c r="I10" s="429"/>
      <c r="J10" s="429"/>
      <c r="K10" s="861"/>
      <c r="L10" s="142"/>
      <c r="M10" s="142"/>
      <c r="N10" s="142"/>
      <c r="O10" s="142"/>
      <c r="P10" s="142"/>
      <c r="Q10" s="142"/>
      <c r="R10" s="142"/>
      <c r="S10" s="142"/>
      <c r="T10" s="142"/>
      <c r="U10" s="142"/>
      <c r="V10" s="142"/>
    </row>
    <row r="11" ht="24" customHeight="1">
      <c r="E11" s="142"/>
      <c r="F11" s="862"/>
      <c r="G11" s="252"/>
      <c r="H11" s="863" t="e">
        <f>INDEX(IP_MAIN_LIST_NAME_IP,MATCH(H8,IP_MAIN_LIST_IP_ID,0))&amp;" ("&amp;INDEX(IP_MAIN_START_DATE,MATCH(H8,IP_MAIN_LIST_IP_ID,0))&amp;"-"&amp;INDEX(IP_MAIN_END_DATE,MATCH(H8,IP_MAIN_LIST_IP_ID,0))&amp;")"</f>
        <v>#VALUE!</v>
      </c>
      <c r="I11" s="863"/>
      <c r="J11" s="863"/>
      <c r="K11" s="861"/>
      <c r="L11" s="142"/>
      <c r="M11" s="142"/>
      <c r="N11" s="142"/>
      <c r="O11" s="142"/>
      <c r="P11" s="142"/>
      <c r="Q11" s="142"/>
      <c r="R11" s="142"/>
      <c r="S11" s="142"/>
      <c r="T11" s="142"/>
      <c r="U11" s="142"/>
      <c r="V11" s="142"/>
    </row>
    <row r="12" ht="10.5" customHeight="1">
      <c r="F12" s="864"/>
      <c r="G12" s="252"/>
      <c r="H12" s="252" t="s">
        <v>915</v>
      </c>
      <c r="I12" s="865"/>
      <c r="J12" s="252"/>
      <c r="K12" s="866"/>
    </row>
    <row r="13" ht="10.5" hidden="1" customHeight="1">
      <c r="F13" s="252">
        <v>1</v>
      </c>
      <c r="G13" s="252">
        <v>2</v>
      </c>
      <c r="H13" s="252">
        <v>3</v>
      </c>
      <c r="I13" s="252">
        <v>4</v>
      </c>
      <c r="J13" s="252">
        <v>5</v>
      </c>
      <c r="K13" s="866"/>
    </row>
    <row r="14" ht="11.25" customHeight="1">
      <c r="F14" s="429" t="s">
        <v>916</v>
      </c>
      <c r="G14" s="789" t="s">
        <v>917</v>
      </c>
      <c r="H14" s="789"/>
      <c r="I14" s="789"/>
      <c r="J14" s="789"/>
      <c r="K14" s="866"/>
    </row>
    <row r="15" ht="11.25" customHeight="1">
      <c r="F15" s="252">
        <v>1</v>
      </c>
      <c r="G15" s="372" t="s">
        <v>918</v>
      </c>
      <c r="H15" s="867">
        <f t="shared" ref="H15:H58" si="43">SUM(I15:J15)</f>
        <v>0</v>
      </c>
      <c r="I15" s="867">
        <f>SUM(I16:I27)</f>
        <v>0</v>
      </c>
      <c r="J15" s="429"/>
      <c r="K15" s="866"/>
    </row>
    <row r="16" ht="22.5" customHeight="1">
      <c r="F16" s="252" t="s">
        <v>919</v>
      </c>
      <c r="G16" s="787" t="s">
        <v>920</v>
      </c>
      <c r="H16" s="867">
        <f t="shared" si="43"/>
        <v>0</v>
      </c>
      <c r="I16" s="868"/>
      <c r="J16" s="429"/>
      <c r="K16" s="866"/>
    </row>
    <row r="17" ht="22.5" customHeight="1">
      <c r="F17" s="252" t="s">
        <v>921</v>
      </c>
      <c r="G17" s="787" t="s">
        <v>922</v>
      </c>
      <c r="H17" s="867">
        <f t="shared" si="43"/>
        <v>0</v>
      </c>
      <c r="I17" s="868"/>
      <c r="J17" s="429"/>
      <c r="K17" s="866"/>
    </row>
    <row r="18" ht="33.75" customHeight="1">
      <c r="F18" s="252" t="s">
        <v>923</v>
      </c>
      <c r="G18" s="787" t="s">
        <v>924</v>
      </c>
      <c r="H18" s="867">
        <f t="shared" si="43"/>
        <v>0</v>
      </c>
      <c r="I18" s="868"/>
      <c r="J18" s="429"/>
      <c r="K18" s="866"/>
    </row>
    <row r="19" ht="33.75" customHeight="1">
      <c r="F19" s="252" t="s">
        <v>925</v>
      </c>
      <c r="G19" s="787" t="s">
        <v>926</v>
      </c>
      <c r="H19" s="867">
        <f t="shared" si="43"/>
        <v>0</v>
      </c>
      <c r="I19" s="868"/>
      <c r="J19" s="429"/>
      <c r="K19" s="866"/>
    </row>
    <row r="20" ht="45" customHeight="1">
      <c r="F20" s="252" t="s">
        <v>927</v>
      </c>
      <c r="G20" s="787" t="s">
        <v>928</v>
      </c>
      <c r="H20" s="867">
        <f t="shared" si="43"/>
        <v>0</v>
      </c>
      <c r="I20" s="868"/>
      <c r="J20" s="429"/>
      <c r="K20" s="866"/>
    </row>
    <row r="21" ht="33.75" customHeight="1">
      <c r="F21" s="252" t="s">
        <v>929</v>
      </c>
      <c r="G21" s="787" t="s">
        <v>930</v>
      </c>
      <c r="H21" s="867">
        <f t="shared" si="43"/>
        <v>0</v>
      </c>
      <c r="I21" s="868"/>
      <c r="J21" s="429"/>
      <c r="K21" s="866"/>
    </row>
    <row r="22" ht="33.75" customHeight="1">
      <c r="F22" s="252" t="s">
        <v>931</v>
      </c>
      <c r="G22" s="787" t="s">
        <v>932</v>
      </c>
      <c r="H22" s="867">
        <f t="shared" si="43"/>
        <v>0</v>
      </c>
      <c r="I22" s="868"/>
      <c r="J22" s="429"/>
      <c r="K22" s="866"/>
    </row>
    <row r="23" ht="22.5" customHeight="1">
      <c r="F23" s="252" t="s">
        <v>933</v>
      </c>
      <c r="G23" s="787" t="s">
        <v>934</v>
      </c>
      <c r="H23" s="867">
        <f t="shared" si="43"/>
        <v>0</v>
      </c>
      <c r="I23" s="868"/>
      <c r="J23" s="429"/>
      <c r="K23" s="866"/>
    </row>
    <row r="24" ht="22.5" customHeight="1">
      <c r="F24" s="252" t="s">
        <v>935</v>
      </c>
      <c r="G24" s="787" t="s">
        <v>936</v>
      </c>
      <c r="H24" s="867">
        <f t="shared" si="43"/>
        <v>0</v>
      </c>
      <c r="I24" s="868"/>
      <c r="J24" s="429"/>
      <c r="K24" s="866"/>
    </row>
    <row r="25" ht="33.75" customHeight="1">
      <c r="F25" s="252" t="s">
        <v>937</v>
      </c>
      <c r="G25" s="787" t="s">
        <v>938</v>
      </c>
      <c r="H25" s="867">
        <f t="shared" si="43"/>
        <v>0</v>
      </c>
      <c r="I25" s="868"/>
      <c r="J25" s="429"/>
      <c r="K25" s="866"/>
    </row>
    <row r="26" ht="33.75" customHeight="1">
      <c r="F26" s="252" t="s">
        <v>939</v>
      </c>
      <c r="G26" s="787" t="s">
        <v>940</v>
      </c>
      <c r="H26" s="867">
        <f t="shared" si="43"/>
        <v>0</v>
      </c>
      <c r="I26" s="868"/>
      <c r="J26" s="429"/>
      <c r="K26" s="866"/>
    </row>
    <row r="27" ht="11.25" customHeight="1">
      <c r="F27" s="252" t="s">
        <v>941</v>
      </c>
      <c r="G27" s="787" t="s">
        <v>942</v>
      </c>
      <c r="H27" s="867">
        <f t="shared" si="43"/>
        <v>0</v>
      </c>
      <c r="I27" s="868"/>
      <c r="J27" s="429"/>
      <c r="K27" s="866"/>
    </row>
    <row r="28" ht="11.25" customHeight="1">
      <c r="F28" s="252">
        <v>2</v>
      </c>
      <c r="G28" s="372" t="s">
        <v>943</v>
      </c>
      <c r="H28" s="867">
        <f t="shared" si="43"/>
        <v>0</v>
      </c>
      <c r="I28" s="867">
        <f>SUM(I29:I31)</f>
        <v>0</v>
      </c>
      <c r="J28" s="429"/>
      <c r="K28" s="866"/>
    </row>
    <row r="29" ht="11.25" customHeight="1">
      <c r="F29" s="252" t="s">
        <v>604</v>
      </c>
      <c r="G29" s="787" t="s">
        <v>944</v>
      </c>
      <c r="H29" s="867">
        <f t="shared" si="43"/>
        <v>0</v>
      </c>
      <c r="I29" s="868"/>
      <c r="J29" s="429"/>
      <c r="K29" s="866"/>
    </row>
    <row r="30" ht="11.25" customHeight="1">
      <c r="F30" s="252" t="s">
        <v>295</v>
      </c>
      <c r="G30" s="787" t="s">
        <v>945</v>
      </c>
      <c r="H30" s="867">
        <f t="shared" si="43"/>
        <v>0</v>
      </c>
      <c r="I30" s="868"/>
      <c r="J30" s="429"/>
      <c r="K30" s="866"/>
    </row>
    <row r="31" ht="11.25" customHeight="1">
      <c r="F31" s="252" t="s">
        <v>298</v>
      </c>
      <c r="G31" s="787" t="s">
        <v>946</v>
      </c>
      <c r="H31" s="867">
        <f t="shared" si="43"/>
        <v>0</v>
      </c>
      <c r="I31" s="868"/>
      <c r="J31" s="429"/>
      <c r="K31" s="866"/>
    </row>
    <row r="32" ht="11.25" customHeight="1">
      <c r="F32" s="252">
        <v>3</v>
      </c>
      <c r="G32" s="372" t="s">
        <v>947</v>
      </c>
      <c r="H32" s="867">
        <f t="shared" si="43"/>
        <v>0</v>
      </c>
      <c r="I32" s="867">
        <f>SUM(I33:I34)</f>
        <v>0</v>
      </c>
      <c r="J32" s="429"/>
      <c r="K32" s="866"/>
    </row>
    <row r="33" ht="33.75" customHeight="1">
      <c r="F33" s="252" t="s">
        <v>314</v>
      </c>
      <c r="G33" s="787" t="s">
        <v>948</v>
      </c>
      <c r="H33" s="867">
        <f t="shared" si="43"/>
        <v>0</v>
      </c>
      <c r="I33" s="868"/>
      <c r="J33" s="429"/>
      <c r="K33" s="866"/>
    </row>
    <row r="34" ht="11.25" customHeight="1">
      <c r="F34" s="252" t="s">
        <v>322</v>
      </c>
      <c r="G34" s="787" t="s">
        <v>949</v>
      </c>
      <c r="H34" s="867">
        <f t="shared" si="43"/>
        <v>0</v>
      </c>
      <c r="I34" s="868"/>
      <c r="J34" s="429"/>
      <c r="K34" s="866"/>
    </row>
    <row r="35" ht="11.25" customHeight="1">
      <c r="F35" s="252">
        <v>4</v>
      </c>
      <c r="G35" s="372" t="s">
        <v>950</v>
      </c>
      <c r="H35" s="867">
        <f t="shared" si="43"/>
        <v>0</v>
      </c>
      <c r="I35" s="868"/>
      <c r="J35" s="429"/>
      <c r="K35" s="866"/>
    </row>
    <row r="36" ht="11.25" customHeight="1">
      <c r="F36" s="252"/>
      <c r="G36" s="789" t="s">
        <v>951</v>
      </c>
      <c r="H36" s="867">
        <f t="shared" si="43"/>
        <v>0</v>
      </c>
      <c r="I36" s="867">
        <f>SUM(I15,I28,I32,I35)</f>
        <v>0</v>
      </c>
      <c r="J36" s="429"/>
      <c r="K36" s="866"/>
    </row>
    <row r="37" ht="27.75" customHeight="1">
      <c r="F37" s="429" t="s">
        <v>952</v>
      </c>
      <c r="G37" s="373" t="s">
        <v>953</v>
      </c>
      <c r="H37" s="373"/>
      <c r="I37" s="373"/>
      <c r="J37" s="373"/>
      <c r="K37" s="866"/>
    </row>
    <row r="38" ht="22.5" customHeight="1">
      <c r="F38" s="252" t="s">
        <v>111</v>
      </c>
      <c r="G38" s="372" t="s">
        <v>954</v>
      </c>
      <c r="H38" s="867">
        <f t="shared" si="43"/>
        <v>0</v>
      </c>
      <c r="I38" s="867">
        <f>SUM(I39,I44,I47)</f>
        <v>0</v>
      </c>
      <c r="J38" s="429"/>
      <c r="K38" s="866"/>
    </row>
    <row r="39" ht="11.25" customHeight="1">
      <c r="F39" s="252" t="s">
        <v>919</v>
      </c>
      <c r="G39" s="787" t="s">
        <v>918</v>
      </c>
      <c r="H39" s="867">
        <f t="shared" si="43"/>
        <v>0</v>
      </c>
      <c r="I39" s="867">
        <f>SUM(I40:I43)</f>
        <v>0</v>
      </c>
      <c r="J39" s="429"/>
      <c r="K39" s="866"/>
    </row>
    <row r="40" ht="22.5" customHeight="1">
      <c r="F40" s="252" t="s">
        <v>955</v>
      </c>
      <c r="G40" s="869" t="s">
        <v>956</v>
      </c>
      <c r="H40" s="867">
        <f t="shared" si="43"/>
        <v>0</v>
      </c>
      <c r="I40" s="868"/>
      <c r="J40" s="429"/>
      <c r="K40" s="866"/>
    </row>
    <row r="41" ht="11.25" customHeight="1">
      <c r="F41" s="252" t="s">
        <v>957</v>
      </c>
      <c r="G41" s="869" t="s">
        <v>958</v>
      </c>
      <c r="H41" s="867">
        <f t="shared" si="43"/>
        <v>0</v>
      </c>
      <c r="I41" s="868"/>
      <c r="J41" s="429"/>
      <c r="K41" s="866"/>
    </row>
    <row r="42" ht="11.25" customHeight="1">
      <c r="F42" s="252" t="s">
        <v>959</v>
      </c>
      <c r="G42" s="869" t="s">
        <v>960</v>
      </c>
      <c r="H42" s="867">
        <f t="shared" si="43"/>
        <v>0</v>
      </c>
      <c r="I42" s="868"/>
      <c r="J42" s="429"/>
      <c r="K42" s="866"/>
    </row>
    <row r="43" ht="33.75" customHeight="1">
      <c r="F43" s="252" t="s">
        <v>961</v>
      </c>
      <c r="G43" s="869" t="s">
        <v>962</v>
      </c>
      <c r="H43" s="867">
        <f t="shared" si="43"/>
        <v>0</v>
      </c>
      <c r="I43" s="868"/>
      <c r="J43" s="429"/>
      <c r="K43" s="866"/>
    </row>
    <row r="44" ht="11.25" customHeight="1">
      <c r="F44" s="252" t="s">
        <v>921</v>
      </c>
      <c r="G44" s="787" t="s">
        <v>947</v>
      </c>
      <c r="H44" s="867">
        <f t="shared" si="43"/>
        <v>0</v>
      </c>
      <c r="I44" s="867">
        <f>SUM(I45:I46)</f>
        <v>0</v>
      </c>
      <c r="J44" s="429"/>
      <c r="K44" s="866"/>
    </row>
    <row r="45" ht="45" customHeight="1">
      <c r="F45" s="252" t="s">
        <v>963</v>
      </c>
      <c r="G45" s="869" t="s">
        <v>948</v>
      </c>
      <c r="H45" s="867">
        <f t="shared" si="43"/>
        <v>0</v>
      </c>
      <c r="I45" s="868"/>
      <c r="J45" s="429"/>
      <c r="K45" s="866"/>
    </row>
    <row r="46" ht="11.25" customHeight="1">
      <c r="F46" s="252" t="s">
        <v>964</v>
      </c>
      <c r="G46" s="869" t="s">
        <v>949</v>
      </c>
      <c r="H46" s="867">
        <f t="shared" si="43"/>
        <v>0</v>
      </c>
      <c r="I46" s="868"/>
      <c r="J46" s="429"/>
      <c r="K46" s="866"/>
    </row>
    <row r="47" ht="11.25" customHeight="1">
      <c r="F47" s="252" t="s">
        <v>923</v>
      </c>
      <c r="G47" s="787" t="s">
        <v>965</v>
      </c>
      <c r="H47" s="867">
        <f t="shared" si="43"/>
        <v>0</v>
      </c>
      <c r="I47" s="868"/>
      <c r="J47" s="429"/>
      <c r="K47" s="866"/>
    </row>
    <row r="48" ht="22.5" customHeight="1">
      <c r="F48" s="252" t="s">
        <v>99</v>
      </c>
      <c r="G48" s="372" t="s">
        <v>966</v>
      </c>
      <c r="H48" s="867">
        <f t="shared" si="43"/>
        <v>0</v>
      </c>
      <c r="I48" s="867">
        <f>SUM(I49,I54,I57)</f>
        <v>0</v>
      </c>
      <c r="J48" s="429"/>
      <c r="K48" s="866"/>
    </row>
    <row r="49" ht="11.25" customHeight="1">
      <c r="F49" s="252" t="s">
        <v>604</v>
      </c>
      <c r="G49" s="787" t="s">
        <v>918</v>
      </c>
      <c r="H49" s="867">
        <f t="shared" si="43"/>
        <v>0</v>
      </c>
      <c r="I49" s="867">
        <f>SUM(I50:I53)</f>
        <v>0</v>
      </c>
      <c r="J49" s="429"/>
      <c r="K49" s="866"/>
    </row>
    <row r="50" ht="22.5" customHeight="1">
      <c r="F50" s="252" t="s">
        <v>607</v>
      </c>
      <c r="G50" s="869" t="s">
        <v>956</v>
      </c>
      <c r="H50" s="867">
        <f t="shared" si="43"/>
        <v>0</v>
      </c>
      <c r="I50" s="868"/>
      <c r="J50" s="429"/>
      <c r="K50" s="866"/>
    </row>
    <row r="51" ht="11.25" customHeight="1">
      <c r="F51" s="252" t="s">
        <v>610</v>
      </c>
      <c r="G51" s="869" t="s">
        <v>958</v>
      </c>
      <c r="H51" s="867">
        <f t="shared" si="43"/>
        <v>0</v>
      </c>
      <c r="I51" s="868"/>
      <c r="J51" s="429"/>
      <c r="K51" s="866"/>
    </row>
    <row r="52" ht="11.25" customHeight="1">
      <c r="F52" s="252" t="s">
        <v>967</v>
      </c>
      <c r="G52" s="869" t="s">
        <v>960</v>
      </c>
      <c r="H52" s="867">
        <f t="shared" si="43"/>
        <v>0</v>
      </c>
      <c r="I52" s="868"/>
      <c r="J52" s="429"/>
      <c r="K52" s="866"/>
    </row>
    <row r="53" ht="33.75" customHeight="1">
      <c r="F53" s="252" t="s">
        <v>968</v>
      </c>
      <c r="G53" s="869" t="s">
        <v>962</v>
      </c>
      <c r="H53" s="867">
        <f t="shared" si="43"/>
        <v>0</v>
      </c>
      <c r="I53" s="868"/>
      <c r="J53" s="429"/>
      <c r="K53" s="866"/>
    </row>
    <row r="54" ht="11.25" customHeight="1">
      <c r="F54" s="252" t="s">
        <v>295</v>
      </c>
      <c r="G54" s="787" t="s">
        <v>947</v>
      </c>
      <c r="H54" s="867">
        <f t="shared" si="43"/>
        <v>0</v>
      </c>
      <c r="I54" s="867">
        <f>SUM(I55:I56)</f>
        <v>0</v>
      </c>
      <c r="J54" s="429"/>
      <c r="K54" s="866"/>
    </row>
    <row r="55" ht="45" customHeight="1">
      <c r="F55" s="252" t="s">
        <v>614</v>
      </c>
      <c r="G55" s="869" t="s">
        <v>948</v>
      </c>
      <c r="H55" s="867">
        <f t="shared" si="43"/>
        <v>0</v>
      </c>
      <c r="I55" s="868"/>
      <c r="J55" s="429"/>
      <c r="K55" s="866"/>
    </row>
    <row r="56" ht="11.25" customHeight="1">
      <c r="F56" s="252" t="s">
        <v>616</v>
      </c>
      <c r="G56" s="869" t="s">
        <v>949</v>
      </c>
      <c r="H56" s="867">
        <f t="shared" si="43"/>
        <v>0</v>
      </c>
      <c r="I56" s="868"/>
      <c r="J56" s="429"/>
      <c r="K56" s="866"/>
    </row>
    <row r="57" ht="11.25" customHeight="1">
      <c r="F57" s="252" t="s">
        <v>298</v>
      </c>
      <c r="G57" s="787" t="s">
        <v>965</v>
      </c>
      <c r="H57" s="867">
        <f t="shared" si="43"/>
        <v>0</v>
      </c>
      <c r="I57" s="868"/>
      <c r="J57" s="429"/>
      <c r="K57" s="866"/>
    </row>
    <row r="58" ht="11.25" customHeight="1">
      <c r="F58" s="252"/>
      <c r="G58" s="373" t="s">
        <v>951</v>
      </c>
      <c r="H58" s="867">
        <f t="shared" si="43"/>
        <v>0</v>
      </c>
      <c r="I58" s="867">
        <f>SUM(I38,I48)</f>
        <v>0</v>
      </c>
      <c r="J58" s="429"/>
      <c r="K58" s="866"/>
    </row>
  </sheetData>
  <sheetProtection autoFilter="0" deleteColumns="0" deleteRows="0" formatCells="1" formatColumns="0" formatRows="0" insertColumns="1" insertHyperlinks="1" insertRows="0" pivotTables="1" selectLockedCells="0" selectUnlockedCells="0" sheet="0" sort="0"/>
  <mergeCells count="9">
    <mergeCell ref="F5:J5"/>
    <mergeCell ref="F6:J6"/>
    <mergeCell ref="F9:J9"/>
    <mergeCell ref="F10:F12"/>
    <mergeCell ref="G10:G12"/>
    <mergeCell ref="H10:J10"/>
    <mergeCell ref="H11:J11"/>
    <mergeCell ref="G14:J14"/>
    <mergeCell ref="G37:J37"/>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6C009B-00DD-4298-8ACF-007400E50074}"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I29:I31 I33:I35 I40:I43 I45:I47 I50:I53 I55:I57 I16:I27</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E4" zoomScale="90" workbookViewId="0">
      <selection activeCell="A1" activeCellId="0" sqref="A1"/>
    </sheetView>
  </sheetViews>
  <sheetFormatPr defaultColWidth="9.140625" defaultRowHeight="12" customHeight="1"/>
  <cols>
    <col customWidth="1" hidden="1" min="1" max="1" style="870" width="4.7109375"/>
    <col customWidth="1" hidden="1" min="2" max="2" style="871" width="4.7109375"/>
    <col customWidth="1" hidden="1" min="3" max="4" style="870" width="4.7109375"/>
    <col customWidth="1" min="5" max="5" style="870" width="3.57421875"/>
    <col customWidth="1" min="6" max="6" style="870" width="6.7109375"/>
    <col customWidth="1" min="7" max="7" style="870" width="18.7109375"/>
    <col customWidth="1" min="8" max="8" style="870" width="27.28125"/>
    <col customWidth="1" min="9" max="9" style="870" width="18.7109375"/>
    <col customWidth="1" hidden="1" min="10" max="14" style="870" width="0.8515625"/>
    <col customWidth="1" min="15" max="28" style="870" width="21.7109375"/>
    <col customWidth="1" min="29" max="71" style="870" width="0.8515625"/>
    <col customWidth="1" hidden="1" min="72" max="79" style="870" width="21.7109375"/>
    <col customWidth="1" hidden="1" min="80" max="81" style="870" width="29.140625"/>
    <col customWidth="1" hidden="1" min="82" max="89" style="870" width="21.7109375"/>
    <col customWidth="1" hidden="1" min="90" max="102" style="870" width="0.7109375"/>
    <col customWidth="1" hidden="1" min="103" max="114" style="870" width="21.7109375"/>
    <col customWidth="1" hidden="1" min="115" max="178" style="870" width="0.7109375"/>
    <col customWidth="1" min="179" max="179" style="870" width="0.140625"/>
    <col min="180" max="184" style="870" width="9.140625"/>
  </cols>
  <sheetData>
    <row r="1" s="872" customFormat="1" ht="12" hidden="1" customHeight="1">
      <c r="B1" s="873"/>
      <c r="C1" s="872"/>
      <c r="D1" s="872"/>
    </row>
    <row r="2" s="872" customFormat="1" ht="12" hidden="1" customHeight="1">
      <c r="B2" s="873"/>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872"/>
      <c r="BW2" s="872"/>
      <c r="BX2" s="872"/>
      <c r="BY2" s="872"/>
      <c r="BZ2" s="872"/>
      <c r="CA2" s="872"/>
      <c r="CB2" s="872"/>
      <c r="CC2" s="872"/>
      <c r="CD2" s="872"/>
      <c r="CE2" s="872"/>
      <c r="CF2" s="872"/>
      <c r="CG2" s="872"/>
      <c r="CH2" s="872"/>
      <c r="CI2" s="872"/>
      <c r="CJ2" s="872"/>
      <c r="CK2" s="872"/>
      <c r="CL2" s="872"/>
      <c r="CM2" s="872"/>
      <c r="CN2" s="872"/>
      <c r="CO2" s="872"/>
      <c r="CP2" s="872"/>
      <c r="CQ2" s="872"/>
      <c r="CR2" s="872"/>
      <c r="CS2" s="872"/>
      <c r="CT2" s="872"/>
      <c r="CU2" s="872"/>
      <c r="CV2" s="872"/>
      <c r="CW2" s="872"/>
      <c r="CX2" s="872"/>
      <c r="CY2" s="872"/>
      <c r="CZ2" s="872"/>
      <c r="DA2" s="872"/>
      <c r="DB2" s="872"/>
      <c r="DC2" s="872"/>
      <c r="DD2" s="872"/>
      <c r="DE2" s="872"/>
      <c r="DF2" s="872"/>
      <c r="DG2" s="872"/>
      <c r="DH2" s="872"/>
      <c r="DI2" s="872"/>
      <c r="DJ2" s="872"/>
      <c r="DK2" s="872"/>
      <c r="DL2" s="872"/>
      <c r="DM2" s="872"/>
      <c r="DN2" s="872"/>
      <c r="DO2" s="872"/>
      <c r="DP2" s="872"/>
      <c r="DQ2" s="872"/>
      <c r="DR2" s="872"/>
      <c r="DS2" s="872"/>
      <c r="DT2" s="872"/>
      <c r="DU2" s="872"/>
      <c r="DV2" s="872"/>
      <c r="DW2" s="872"/>
      <c r="DX2" s="872"/>
      <c r="DY2" s="872"/>
      <c r="DZ2" s="872"/>
      <c r="EA2" s="872"/>
      <c r="EB2" s="872"/>
      <c r="EC2" s="872"/>
      <c r="ED2" s="872"/>
      <c r="EE2" s="872"/>
      <c r="EF2" s="872"/>
      <c r="EG2" s="872"/>
      <c r="EH2" s="872"/>
      <c r="EI2" s="872"/>
      <c r="EJ2" s="872"/>
      <c r="EK2" s="872"/>
      <c r="EL2" s="872"/>
      <c r="EM2" s="872"/>
      <c r="EN2" s="872"/>
      <c r="EO2" s="872"/>
      <c r="EP2" s="872"/>
      <c r="EQ2" s="872"/>
      <c r="ER2" s="872"/>
      <c r="ES2" s="872"/>
      <c r="ET2" s="872"/>
      <c r="EU2" s="872"/>
      <c r="EV2" s="872"/>
      <c r="EW2" s="872"/>
      <c r="EX2" s="872"/>
      <c r="EY2" s="872"/>
      <c r="EZ2" s="872"/>
      <c r="FA2" s="872"/>
      <c r="FB2" s="872"/>
      <c r="FC2" s="872"/>
      <c r="FD2" s="872"/>
      <c r="FE2" s="872"/>
      <c r="FF2" s="872"/>
      <c r="FG2" s="872"/>
      <c r="FH2" s="872"/>
      <c r="FI2" s="872"/>
      <c r="FJ2" s="872"/>
      <c r="FK2" s="872"/>
      <c r="FL2" s="872"/>
      <c r="FM2" s="872"/>
      <c r="FN2" s="872"/>
      <c r="FO2" s="872"/>
      <c r="FP2" s="872"/>
      <c r="FQ2" s="872"/>
      <c r="FR2" s="872"/>
      <c r="FS2" s="872"/>
      <c r="FT2" s="872"/>
      <c r="FU2" s="872"/>
      <c r="FV2" s="872"/>
      <c r="FW2" s="872"/>
    </row>
    <row r="3" s="872" customFormat="1" ht="12" hidden="1" customHeight="1">
      <c r="B3" s="873"/>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c r="AY3" s="872"/>
      <c r="AZ3" s="872"/>
      <c r="BA3" s="872"/>
      <c r="BB3" s="872"/>
      <c r="BC3" s="872"/>
      <c r="BD3" s="872"/>
      <c r="BE3" s="872"/>
      <c r="BF3" s="872"/>
      <c r="BG3" s="872"/>
      <c r="BH3" s="872"/>
      <c r="BI3" s="872"/>
      <c r="BJ3" s="872"/>
      <c r="BK3" s="872"/>
      <c r="BL3" s="872"/>
      <c r="BM3" s="872"/>
      <c r="BN3" s="872"/>
      <c r="BO3" s="872"/>
      <c r="BP3" s="872"/>
      <c r="BQ3" s="872"/>
      <c r="BR3" s="872"/>
      <c r="BS3" s="872"/>
      <c r="BT3" s="872"/>
      <c r="BU3" s="872"/>
      <c r="BV3" s="872"/>
      <c r="BW3" s="872"/>
      <c r="BX3" s="872"/>
      <c r="BY3" s="872"/>
      <c r="BZ3" s="872"/>
      <c r="CA3" s="872"/>
      <c r="CB3" s="872"/>
      <c r="CC3" s="872"/>
      <c r="CD3" s="872"/>
      <c r="CE3" s="872"/>
      <c r="CF3" s="872"/>
      <c r="CG3" s="872"/>
      <c r="CH3" s="872"/>
      <c r="CI3" s="872"/>
      <c r="CJ3" s="872"/>
      <c r="CK3" s="872"/>
      <c r="CL3" s="872"/>
      <c r="CM3" s="872"/>
      <c r="CN3" s="872"/>
      <c r="CO3" s="872"/>
      <c r="CP3" s="872"/>
      <c r="CQ3" s="872"/>
      <c r="CR3" s="872"/>
      <c r="CS3" s="872"/>
      <c r="CT3" s="872"/>
      <c r="CU3" s="872"/>
      <c r="CV3" s="872"/>
      <c r="CW3" s="872"/>
      <c r="CX3" s="872"/>
      <c r="CY3" s="872"/>
      <c r="CZ3" s="872"/>
      <c r="DA3" s="872"/>
      <c r="DB3" s="872"/>
      <c r="DC3" s="872"/>
      <c r="DD3" s="872"/>
      <c r="DE3" s="872"/>
      <c r="DF3" s="872"/>
      <c r="DG3" s="872"/>
      <c r="DH3" s="872"/>
      <c r="DI3" s="872"/>
      <c r="DJ3" s="872"/>
      <c r="DK3" s="872"/>
      <c r="DL3" s="872"/>
      <c r="DM3" s="872"/>
      <c r="DN3" s="872"/>
      <c r="DO3" s="872"/>
      <c r="DP3" s="872"/>
      <c r="DQ3" s="872"/>
      <c r="DR3" s="872"/>
      <c r="DS3" s="872"/>
      <c r="DT3" s="872"/>
      <c r="DU3" s="872"/>
      <c r="DV3" s="872"/>
      <c r="DW3" s="872"/>
      <c r="DX3" s="872"/>
      <c r="DY3" s="872"/>
      <c r="DZ3" s="872"/>
      <c r="EA3" s="872"/>
      <c r="EB3" s="872"/>
      <c r="EC3" s="872"/>
      <c r="ED3" s="872"/>
      <c r="EE3" s="872"/>
      <c r="EF3" s="872"/>
      <c r="EG3" s="872"/>
      <c r="EH3" s="872"/>
      <c r="EI3" s="872"/>
      <c r="EJ3" s="872"/>
      <c r="EK3" s="872"/>
      <c r="EL3" s="872"/>
      <c r="EM3" s="872"/>
      <c r="EN3" s="872"/>
      <c r="EO3" s="872"/>
      <c r="EP3" s="872"/>
      <c r="EQ3" s="872"/>
      <c r="ER3" s="872"/>
      <c r="ES3" s="872"/>
      <c r="ET3" s="872"/>
      <c r="EU3" s="872"/>
      <c r="EV3" s="872"/>
      <c r="EW3" s="872"/>
      <c r="EX3" s="872"/>
      <c r="EY3" s="872"/>
      <c r="EZ3" s="872"/>
      <c r="FA3" s="872"/>
      <c r="FB3" s="872"/>
      <c r="FC3" s="872"/>
      <c r="FD3" s="872"/>
      <c r="FE3" s="872"/>
      <c r="FF3" s="872"/>
      <c r="FG3" s="872"/>
      <c r="FH3" s="872"/>
      <c r="FI3" s="872"/>
      <c r="FJ3" s="872"/>
      <c r="FK3" s="872"/>
      <c r="FL3" s="872"/>
      <c r="FM3" s="872"/>
      <c r="FN3" s="872"/>
      <c r="FO3" s="872"/>
      <c r="FP3" s="872"/>
      <c r="FQ3" s="872"/>
      <c r="FR3" s="872"/>
      <c r="FS3" s="872"/>
      <c r="FT3" s="872"/>
      <c r="FU3" s="872"/>
      <c r="FV3" s="872"/>
      <c r="FW3" s="872"/>
    </row>
    <row r="4" ht="10.5" customHeight="1">
      <c r="B4" s="871"/>
      <c r="C4" s="870"/>
      <c r="D4" s="870"/>
      <c r="E4" s="870"/>
      <c r="F4" s="870"/>
      <c r="G4" s="870"/>
      <c r="H4" s="874"/>
      <c r="I4" s="874"/>
      <c r="J4" s="874"/>
      <c r="K4" s="874"/>
      <c r="L4" s="874"/>
      <c r="M4" s="870"/>
      <c r="N4" s="870"/>
      <c r="O4" s="870"/>
      <c r="P4" s="870"/>
      <c r="Q4" s="870"/>
      <c r="R4" s="870"/>
      <c r="S4" s="870"/>
      <c r="T4" s="870"/>
      <c r="U4" s="870"/>
      <c r="V4" s="870"/>
      <c r="W4" s="870"/>
      <c r="X4" s="870"/>
      <c r="Y4" s="870"/>
      <c r="Z4" s="870"/>
      <c r="AA4" s="870"/>
      <c r="AB4" s="870"/>
      <c r="AC4" s="870"/>
      <c r="AD4" s="870"/>
      <c r="AE4" s="870"/>
      <c r="AF4" s="870"/>
      <c r="AG4" s="870"/>
      <c r="AH4" s="870"/>
      <c r="AI4" s="870"/>
      <c r="AJ4" s="870"/>
      <c r="AK4" s="870"/>
      <c r="AL4" s="870"/>
      <c r="AM4" s="870"/>
      <c r="AN4" s="870"/>
      <c r="AO4" s="870"/>
      <c r="AP4" s="870"/>
      <c r="AQ4" s="870"/>
      <c r="AR4" s="870"/>
      <c r="AS4" s="870"/>
      <c r="AT4" s="870"/>
      <c r="AU4" s="870"/>
      <c r="AV4" s="870"/>
      <c r="AW4" s="870"/>
      <c r="AX4" s="870"/>
      <c r="AY4" s="870"/>
      <c r="AZ4" s="870"/>
      <c r="BA4" s="870"/>
      <c r="BB4" s="870"/>
      <c r="BC4" s="870"/>
      <c r="BD4" s="870"/>
      <c r="BE4" s="870"/>
      <c r="BF4" s="870"/>
      <c r="BG4" s="870"/>
      <c r="BH4" s="870"/>
      <c r="BI4" s="870"/>
      <c r="BJ4" s="870"/>
      <c r="BK4" s="870"/>
      <c r="BL4" s="870"/>
      <c r="BM4" s="870"/>
      <c r="BN4" s="870"/>
      <c r="BO4" s="870"/>
      <c r="BP4" s="870"/>
      <c r="BQ4" s="870"/>
      <c r="BR4" s="870"/>
      <c r="BS4" s="870"/>
      <c r="BT4" s="870"/>
      <c r="BU4" s="870"/>
      <c r="BV4" s="870"/>
      <c r="BW4" s="870"/>
      <c r="BX4" s="870"/>
      <c r="BY4" s="870"/>
      <c r="BZ4" s="870"/>
      <c r="CA4" s="870"/>
      <c r="CB4" s="870"/>
      <c r="CC4" s="870"/>
      <c r="CD4" s="870"/>
      <c r="CE4" s="870"/>
      <c r="CF4" s="870"/>
      <c r="CG4" s="870"/>
      <c r="CH4" s="870"/>
      <c r="CI4" s="870"/>
      <c r="CJ4" s="870"/>
      <c r="CK4" s="870"/>
      <c r="CL4" s="870"/>
      <c r="CM4" s="870"/>
      <c r="CN4" s="870"/>
      <c r="CO4" s="870"/>
      <c r="CP4" s="870"/>
      <c r="CQ4" s="870"/>
      <c r="CR4" s="870"/>
      <c r="CS4" s="870"/>
      <c r="CT4" s="870"/>
      <c r="CU4" s="870"/>
      <c r="CV4" s="870"/>
      <c r="CW4" s="870"/>
      <c r="CX4" s="870"/>
      <c r="CY4" s="870"/>
      <c r="CZ4" s="870"/>
      <c r="DA4" s="870"/>
      <c r="DB4" s="870"/>
      <c r="DC4" s="870"/>
      <c r="DD4" s="870"/>
      <c r="DE4" s="870"/>
      <c r="DF4" s="870"/>
      <c r="DG4" s="870"/>
      <c r="DH4" s="870"/>
      <c r="DI4" s="870"/>
      <c r="DJ4" s="870"/>
      <c r="DK4" s="870"/>
      <c r="DL4" s="870"/>
      <c r="DM4" s="870"/>
      <c r="DN4" s="870"/>
      <c r="DO4" s="870"/>
      <c r="DP4" s="870"/>
      <c r="DQ4" s="870"/>
      <c r="DR4" s="870"/>
      <c r="DS4" s="870"/>
      <c r="DT4" s="870"/>
      <c r="DU4" s="870"/>
      <c r="DV4" s="870"/>
      <c r="DW4" s="870"/>
      <c r="DX4" s="870"/>
      <c r="DY4" s="870"/>
      <c r="DZ4" s="870"/>
      <c r="EA4" s="870"/>
      <c r="EB4" s="870"/>
      <c r="EC4" s="870"/>
      <c r="ED4" s="870"/>
      <c r="EE4" s="870"/>
      <c r="EF4" s="870"/>
      <c r="EG4" s="870"/>
      <c r="EH4" s="870"/>
      <c r="EI4" s="870"/>
      <c r="EJ4" s="870"/>
      <c r="EK4" s="870"/>
      <c r="EL4" s="870"/>
      <c r="EM4" s="870"/>
      <c r="EN4" s="870"/>
      <c r="EO4" s="870"/>
      <c r="EP4" s="870"/>
      <c r="EQ4" s="870"/>
      <c r="ER4" s="870"/>
      <c r="ES4" s="870"/>
      <c r="ET4" s="870"/>
      <c r="EU4" s="870"/>
      <c r="EV4" s="870"/>
      <c r="EW4" s="870"/>
      <c r="EX4" s="870"/>
      <c r="EY4" s="870"/>
      <c r="EZ4" s="870"/>
      <c r="FA4" s="870"/>
      <c r="FB4" s="870"/>
      <c r="FC4" s="870"/>
      <c r="FD4" s="870"/>
      <c r="FE4" s="870"/>
      <c r="FF4" s="870"/>
      <c r="FG4" s="870"/>
      <c r="FH4" s="870"/>
      <c r="FI4" s="870"/>
      <c r="FJ4" s="870"/>
      <c r="FK4" s="870"/>
      <c r="FL4" s="870"/>
      <c r="FM4" s="870"/>
      <c r="FN4" s="870"/>
      <c r="FO4" s="870"/>
      <c r="FP4" s="870"/>
      <c r="FQ4" s="870"/>
      <c r="FR4" s="870"/>
      <c r="FS4" s="870"/>
      <c r="FT4" s="870"/>
      <c r="FU4" s="870"/>
      <c r="FV4" s="870"/>
      <c r="FW4" s="870"/>
    </row>
    <row r="5" s="694" customFormat="1" ht="25.5" customHeight="1">
      <c r="B5" s="875"/>
      <c r="E5" s="876"/>
      <c r="F5" s="877" t="str">
        <f>IP_NAME_FORM&amp;"
Показатели качества, надежности и энергетической эффективности в сфере "&amp;TEMPLATE_SPHERE_RUS&amp;" на "&amp;TITLE_FIL_YEAR&amp;" год"</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124" customFormat="1" ht="18" customHeight="1">
      <c r="B6" s="751"/>
      <c r="E6" s="385"/>
      <c r="F6" s="407" t="str">
        <f>IF(org=0,"Не определено",org)</f>
        <v xml:space="preserve">филиал ПАО "ОГК-2" - Адлерская ТЭС</v>
      </c>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c r="BR6" s="408"/>
      <c r="BS6" s="408"/>
    </row>
    <row r="7" s="878" customFormat="1" ht="10.5" customHeight="1">
      <c r="B7" s="879"/>
      <c r="E7" s="878"/>
      <c r="F7" s="878"/>
      <c r="G7" s="880"/>
      <c r="H7" s="874"/>
      <c r="I7" s="874"/>
      <c r="J7" s="874"/>
      <c r="K7" s="874"/>
      <c r="L7" s="874"/>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8"/>
      <c r="AZ7" s="878"/>
      <c r="BA7" s="878"/>
      <c r="BB7" s="878"/>
      <c r="BC7" s="878"/>
      <c r="BD7" s="878"/>
      <c r="BE7" s="878"/>
      <c r="BF7" s="878"/>
      <c r="BG7" s="878"/>
      <c r="BH7" s="878"/>
      <c r="BI7" s="878"/>
      <c r="BJ7" s="878"/>
      <c r="BK7" s="878"/>
      <c r="BL7" s="878"/>
      <c r="BM7" s="878"/>
      <c r="BN7" s="878"/>
      <c r="BO7" s="878"/>
      <c r="BP7" s="878"/>
      <c r="BQ7" s="878"/>
      <c r="BR7" s="878"/>
      <c r="BS7" s="878"/>
      <c r="BT7" s="878"/>
      <c r="BU7" s="878"/>
      <c r="BV7" s="878"/>
      <c r="BW7" s="878"/>
      <c r="BX7" s="878"/>
      <c r="BY7" s="878"/>
      <c r="BZ7" s="878"/>
      <c r="CA7" s="878"/>
      <c r="CB7" s="878"/>
      <c r="CC7" s="878"/>
      <c r="CD7" s="878"/>
      <c r="CE7" s="878"/>
      <c r="CF7" s="878"/>
      <c r="CG7" s="878"/>
      <c r="CH7" s="878"/>
      <c r="CI7" s="878"/>
      <c r="CJ7" s="878"/>
      <c r="CK7" s="878"/>
      <c r="CL7" s="878"/>
      <c r="CM7" s="878"/>
      <c r="CN7" s="878"/>
      <c r="CO7" s="878"/>
      <c r="CP7" s="878"/>
      <c r="CQ7" s="878"/>
      <c r="CR7" s="878"/>
      <c r="CS7" s="878"/>
      <c r="CT7" s="878"/>
      <c r="CU7" s="878"/>
      <c r="CV7" s="878"/>
      <c r="CW7" s="878"/>
      <c r="CX7" s="878"/>
      <c r="CY7" s="878"/>
      <c r="CZ7" s="878"/>
      <c r="DA7" s="878"/>
      <c r="DB7" s="878"/>
      <c r="DC7" s="878"/>
      <c r="DD7" s="878"/>
      <c r="DE7" s="878"/>
      <c r="DF7" s="878"/>
      <c r="DG7" s="878"/>
      <c r="DH7" s="878"/>
      <c r="DI7" s="878"/>
      <c r="DJ7" s="878"/>
      <c r="DK7" s="878"/>
      <c r="DL7" s="878"/>
      <c r="DM7" s="878"/>
      <c r="DN7" s="878"/>
      <c r="DO7" s="878"/>
      <c r="DP7" s="878"/>
      <c r="DQ7" s="878"/>
      <c r="DR7" s="878"/>
      <c r="DS7" s="878"/>
      <c r="DT7" s="878"/>
      <c r="DU7" s="878"/>
      <c r="DV7" s="878"/>
      <c r="DW7" s="878"/>
      <c r="DX7" s="878"/>
      <c r="DY7" s="878"/>
      <c r="DZ7" s="878"/>
      <c r="EA7" s="878"/>
      <c r="EB7" s="878"/>
      <c r="EC7" s="878"/>
      <c r="ED7" s="878"/>
      <c r="EE7" s="878"/>
      <c r="EF7" s="878"/>
      <c r="EG7" s="878"/>
      <c r="EH7" s="878"/>
      <c r="EI7" s="878"/>
      <c r="EJ7" s="878"/>
      <c r="EK7" s="878"/>
      <c r="EL7" s="878"/>
      <c r="EM7" s="878"/>
      <c r="EN7" s="878"/>
      <c r="EO7" s="878"/>
      <c r="EP7" s="878"/>
      <c r="EQ7" s="878"/>
      <c r="ER7" s="878"/>
      <c r="ES7" s="878"/>
      <c r="ET7" s="878"/>
      <c r="EU7" s="878"/>
      <c r="EV7" s="878"/>
      <c r="EW7" s="878"/>
      <c r="EX7" s="878"/>
      <c r="EY7" s="878"/>
      <c r="EZ7" s="878"/>
      <c r="FA7" s="878"/>
      <c r="FB7" s="878"/>
      <c r="FC7" s="878"/>
      <c r="FD7" s="878"/>
      <c r="FE7" s="878"/>
      <c r="FF7" s="878"/>
      <c r="FG7" s="878"/>
      <c r="FH7" s="878"/>
      <c r="FI7" s="878"/>
      <c r="FJ7" s="878"/>
      <c r="FK7" s="878"/>
      <c r="FL7" s="878"/>
      <c r="FM7" s="878"/>
      <c r="FN7" s="878"/>
      <c r="FO7" s="878"/>
      <c r="FP7" s="878"/>
      <c r="FQ7" s="878"/>
      <c r="FR7" s="878"/>
      <c r="FS7" s="878"/>
      <c r="FT7" s="878"/>
      <c r="FU7" s="878"/>
      <c r="FV7" s="878"/>
      <c r="FW7" s="878"/>
    </row>
    <row r="8" s="878" customFormat="1" ht="11.25" hidden="1" customHeight="1">
      <c r="B8" s="879"/>
      <c r="F8" s="124"/>
      <c r="G8" s="51"/>
      <c r="H8" s="142"/>
      <c r="I8" s="142"/>
      <c r="J8" s="142"/>
      <c r="K8" s="142"/>
      <c r="L8" s="142"/>
      <c r="M8" s="124"/>
      <c r="N8" s="124"/>
      <c r="O8" s="881" t="s">
        <v>969</v>
      </c>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2"/>
      <c r="AY8" s="882"/>
      <c r="AZ8" s="882"/>
      <c r="BA8" s="882"/>
      <c r="BB8" s="882"/>
      <c r="BC8" s="882"/>
      <c r="BD8" s="882"/>
      <c r="BE8" s="882"/>
      <c r="BF8" s="882"/>
      <c r="BG8" s="882"/>
      <c r="BH8" s="882"/>
      <c r="BI8" s="882"/>
      <c r="BJ8" s="882"/>
      <c r="BK8" s="882"/>
      <c r="BL8" s="882"/>
      <c r="BM8" s="882"/>
      <c r="BN8" s="882"/>
      <c r="BO8" s="882"/>
      <c r="BP8" s="882"/>
      <c r="BQ8" s="882"/>
      <c r="BR8" s="882"/>
      <c r="BS8" s="883"/>
      <c r="BT8" s="884"/>
      <c r="BU8" s="885"/>
      <c r="BV8" s="885"/>
      <c r="BW8" s="885"/>
      <c r="BX8" s="885"/>
      <c r="BY8" s="885"/>
      <c r="BZ8" s="885"/>
      <c r="CA8" s="885"/>
      <c r="CB8" s="885"/>
      <c r="CC8" s="885"/>
      <c r="CD8" s="885"/>
      <c r="CE8" s="885"/>
      <c r="CF8" s="885"/>
      <c r="CG8" s="885"/>
      <c r="CH8" s="885"/>
      <c r="CI8" s="885"/>
      <c r="CJ8" s="885"/>
      <c r="CK8" s="885"/>
      <c r="CL8" s="885"/>
      <c r="CM8" s="885"/>
      <c r="CN8" s="885"/>
      <c r="CO8" s="885"/>
      <c r="CP8" s="885"/>
      <c r="CQ8" s="885"/>
      <c r="CR8" s="885"/>
      <c r="CS8" s="885"/>
      <c r="CT8" s="885"/>
      <c r="CU8" s="885"/>
      <c r="CV8" s="885"/>
      <c r="CW8" s="885"/>
      <c r="CX8" s="886"/>
      <c r="CY8" s="887"/>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9"/>
      <c r="DY8" s="890" t="s">
        <v>970</v>
      </c>
      <c r="DZ8" s="891"/>
      <c r="EA8" s="891"/>
      <c r="EB8" s="891"/>
      <c r="EC8" s="891"/>
      <c r="ED8" s="891"/>
      <c r="EE8" s="891"/>
      <c r="EF8" s="891"/>
      <c r="EG8" s="891"/>
      <c r="EH8" s="891"/>
      <c r="EI8" s="891"/>
      <c r="EJ8" s="891"/>
      <c r="EK8" s="891"/>
      <c r="EL8" s="891"/>
      <c r="EM8" s="891"/>
      <c r="EN8" s="891"/>
      <c r="EO8" s="891"/>
      <c r="EP8" s="891"/>
      <c r="EQ8" s="891"/>
      <c r="ER8" s="891"/>
      <c r="ES8" s="891"/>
      <c r="ET8" s="891"/>
      <c r="EU8" s="891"/>
      <c r="EV8" s="891"/>
      <c r="EW8" s="891"/>
      <c r="EX8" s="891"/>
      <c r="EY8" s="891"/>
      <c r="EZ8" s="891"/>
      <c r="FA8" s="891"/>
      <c r="FB8" s="891"/>
      <c r="FC8" s="891"/>
      <c r="FD8" s="891"/>
      <c r="FE8" s="891"/>
      <c r="FF8" s="891"/>
      <c r="FG8" s="891"/>
      <c r="FH8" s="891"/>
      <c r="FI8" s="891"/>
      <c r="FJ8" s="891"/>
      <c r="FK8" s="891"/>
      <c r="FL8" s="891"/>
      <c r="FM8" s="891"/>
      <c r="FN8" s="891"/>
      <c r="FO8" s="891"/>
      <c r="FP8" s="891"/>
      <c r="FQ8" s="891"/>
      <c r="FR8" s="891"/>
      <c r="FS8" s="891"/>
      <c r="FT8" s="891"/>
      <c r="FU8" s="891"/>
      <c r="FV8" s="891"/>
      <c r="FW8" s="892"/>
      <c r="FX8" s="124"/>
    </row>
    <row r="9" s="878" customFormat="1" ht="11.25" hidden="1" customHeight="1">
      <c r="B9" s="879"/>
      <c r="F9" s="124"/>
      <c r="G9" s="51"/>
      <c r="H9" s="142"/>
      <c r="I9" s="142"/>
      <c r="J9" s="142"/>
      <c r="K9" s="142"/>
      <c r="L9" s="142"/>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893"/>
      <c r="FX9" s="124"/>
    </row>
    <row r="10" s="878" customFormat="1" ht="11.25" customHeight="1">
      <c r="B10" s="879"/>
      <c r="F10" s="844" t="s">
        <v>288</v>
      </c>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4"/>
      <c r="AY10" s="894"/>
      <c r="AZ10" s="894"/>
      <c r="BA10" s="894"/>
      <c r="BB10" s="894"/>
      <c r="BC10" s="894"/>
      <c r="BD10" s="894"/>
      <c r="BE10" s="894"/>
      <c r="BF10" s="894"/>
      <c r="BG10" s="894"/>
      <c r="BH10" s="894"/>
      <c r="BI10" s="894"/>
      <c r="BJ10" s="894"/>
      <c r="BK10" s="894"/>
      <c r="BL10" s="894"/>
      <c r="BM10" s="894"/>
      <c r="BN10" s="894"/>
      <c r="BO10" s="894"/>
      <c r="BP10" s="894"/>
      <c r="BQ10" s="894"/>
      <c r="BR10" s="894"/>
      <c r="BS10" s="894"/>
      <c r="BT10" s="894"/>
      <c r="BU10" s="894"/>
      <c r="BV10" s="894"/>
      <c r="BW10" s="894"/>
      <c r="BX10" s="894"/>
      <c r="BY10" s="894"/>
      <c r="BZ10" s="894"/>
      <c r="CA10" s="894"/>
      <c r="CB10" s="894"/>
      <c r="CC10" s="894"/>
      <c r="CD10" s="894"/>
      <c r="CE10" s="894"/>
      <c r="CF10" s="894"/>
      <c r="CG10" s="894"/>
      <c r="CH10" s="894"/>
      <c r="CI10" s="894"/>
      <c r="CJ10" s="894"/>
      <c r="CK10" s="894"/>
      <c r="CL10" s="894"/>
      <c r="CM10" s="894"/>
      <c r="CN10" s="894"/>
      <c r="CO10" s="894"/>
      <c r="CP10" s="894"/>
      <c r="CQ10" s="894"/>
      <c r="CR10" s="894"/>
      <c r="CS10" s="894"/>
      <c r="CT10" s="894"/>
      <c r="CU10" s="894"/>
      <c r="CV10" s="894"/>
      <c r="CW10" s="894"/>
      <c r="CX10" s="894"/>
      <c r="CY10" s="894"/>
      <c r="CZ10" s="894"/>
      <c r="DA10" s="894"/>
      <c r="DB10" s="894"/>
      <c r="DC10" s="894"/>
      <c r="DD10" s="894"/>
      <c r="DE10" s="894"/>
      <c r="DF10" s="894"/>
      <c r="DG10" s="894"/>
      <c r="DH10" s="894"/>
      <c r="DI10" s="894"/>
      <c r="DJ10" s="894"/>
      <c r="DK10" s="894"/>
      <c r="DL10" s="894"/>
      <c r="DM10" s="894"/>
      <c r="DN10" s="894"/>
      <c r="DO10" s="894"/>
      <c r="DP10" s="894"/>
      <c r="DQ10" s="894"/>
      <c r="DR10" s="894"/>
      <c r="DS10" s="894"/>
      <c r="DT10" s="894"/>
      <c r="DU10" s="894"/>
      <c r="DV10" s="894"/>
      <c r="DW10" s="894"/>
      <c r="DX10" s="894"/>
      <c r="DY10" s="894"/>
      <c r="DZ10" s="894"/>
      <c r="EA10" s="894"/>
      <c r="EB10" s="894"/>
      <c r="EC10" s="894"/>
      <c r="ED10" s="894"/>
      <c r="EE10" s="894"/>
      <c r="EF10" s="894"/>
      <c r="EG10" s="894"/>
      <c r="EH10" s="894"/>
      <c r="EI10" s="894"/>
      <c r="EJ10" s="894"/>
      <c r="EK10" s="894"/>
      <c r="EL10" s="894"/>
      <c r="EM10" s="894"/>
      <c r="EN10" s="894"/>
      <c r="EO10" s="894"/>
      <c r="EP10" s="894"/>
      <c r="EQ10" s="894"/>
      <c r="ER10" s="894"/>
      <c r="ES10" s="894"/>
      <c r="ET10" s="894"/>
      <c r="EU10" s="894"/>
      <c r="EV10" s="894"/>
      <c r="EW10" s="894"/>
      <c r="EX10" s="894"/>
      <c r="EY10" s="894"/>
      <c r="EZ10" s="894"/>
      <c r="FA10" s="894"/>
      <c r="FB10" s="894"/>
      <c r="FC10" s="894"/>
      <c r="FD10" s="894"/>
      <c r="FE10" s="894"/>
      <c r="FF10" s="894"/>
      <c r="FG10" s="894"/>
      <c r="FH10" s="894"/>
      <c r="FI10" s="894"/>
      <c r="FJ10" s="894"/>
      <c r="FK10" s="894"/>
      <c r="FL10" s="894"/>
      <c r="FM10" s="894"/>
      <c r="FN10" s="894"/>
      <c r="FO10" s="894"/>
      <c r="FP10" s="894"/>
      <c r="FQ10" s="894"/>
      <c r="FR10" s="894"/>
      <c r="FS10" s="894"/>
      <c r="FT10" s="894"/>
      <c r="FU10" s="894"/>
      <c r="FV10" s="895"/>
      <c r="FW10" s="893"/>
      <c r="FX10" s="124"/>
    </row>
    <row r="11" ht="12" customHeight="1">
      <c r="E11" s="896"/>
      <c r="F11" s="345" t="s">
        <v>85</v>
      </c>
      <c r="G11" s="345" t="s">
        <v>971</v>
      </c>
      <c r="H11" s="345" t="s">
        <v>972</v>
      </c>
      <c r="I11" s="345" t="s">
        <v>973</v>
      </c>
      <c r="J11" s="897"/>
      <c r="K11" s="897"/>
      <c r="L11" s="897"/>
      <c r="M11" s="897"/>
      <c r="N11" s="897"/>
      <c r="O11" s="347" t="s">
        <v>974</v>
      </c>
      <c r="P11" s="347"/>
      <c r="Q11" s="347"/>
      <c r="R11" s="347"/>
      <c r="S11" s="347"/>
      <c r="T11" s="347"/>
      <c r="U11" s="347"/>
      <c r="V11" s="347"/>
      <c r="W11" s="347"/>
      <c r="X11" s="347"/>
      <c r="Y11" s="347"/>
      <c r="Z11" s="347"/>
      <c r="AA11" s="347"/>
      <c r="AB11" s="347"/>
      <c r="AC11" s="898"/>
      <c r="AD11" s="898"/>
      <c r="AE11" s="898"/>
      <c r="AF11" s="898"/>
      <c r="AG11" s="898"/>
      <c r="AH11" s="898"/>
      <c r="AI11" s="898"/>
      <c r="AJ11" s="898"/>
      <c r="AK11" s="898"/>
      <c r="AL11" s="898"/>
      <c r="AM11" s="898"/>
      <c r="AN11" s="898"/>
      <c r="AO11" s="898"/>
      <c r="AP11" s="898"/>
      <c r="AQ11" s="898"/>
      <c r="AR11" s="898"/>
      <c r="AS11" s="898"/>
      <c r="AT11" s="898"/>
      <c r="AU11" s="898"/>
      <c r="AV11" s="898"/>
      <c r="AW11" s="898"/>
      <c r="AX11" s="898"/>
      <c r="AY11" s="898"/>
      <c r="AZ11" s="898"/>
      <c r="BA11" s="898"/>
      <c r="BB11" s="898"/>
      <c r="BC11" s="898"/>
      <c r="BD11" s="898"/>
      <c r="BE11" s="898"/>
      <c r="BF11" s="898"/>
      <c r="BG11" s="898"/>
      <c r="BH11" s="898"/>
      <c r="BI11" s="898"/>
      <c r="BJ11" s="898"/>
      <c r="BK11" s="898"/>
      <c r="BL11" s="898"/>
      <c r="BM11" s="898"/>
      <c r="BN11" s="898"/>
      <c r="BO11" s="898"/>
      <c r="BP11" s="898"/>
      <c r="BQ11" s="898"/>
      <c r="BR11" s="898"/>
      <c r="BS11" s="899"/>
      <c r="BT11" s="900" t="s">
        <v>974</v>
      </c>
      <c r="BU11" s="901"/>
      <c r="BV11" s="901"/>
      <c r="BW11" s="901"/>
      <c r="BX11" s="901"/>
      <c r="BY11" s="901"/>
      <c r="BZ11" s="901"/>
      <c r="CA11" s="901"/>
      <c r="CB11" s="901"/>
      <c r="CC11" s="901"/>
      <c r="CD11" s="901"/>
      <c r="CE11" s="901"/>
      <c r="CF11" s="901"/>
      <c r="CG11" s="901"/>
      <c r="CH11" s="901"/>
      <c r="CI11" s="901"/>
      <c r="CJ11" s="901"/>
      <c r="CK11" s="902"/>
      <c r="CL11" s="903"/>
      <c r="CM11" s="898"/>
      <c r="CN11" s="898"/>
      <c r="CO11" s="898"/>
      <c r="CP11" s="898"/>
      <c r="CQ11" s="898"/>
      <c r="CR11" s="898"/>
      <c r="CS11" s="898"/>
      <c r="CT11" s="898"/>
      <c r="CU11" s="898"/>
      <c r="CV11" s="898"/>
      <c r="CW11" s="898"/>
      <c r="CX11" s="899"/>
      <c r="CY11" s="900" t="s">
        <v>974</v>
      </c>
      <c r="CZ11" s="901"/>
      <c r="DA11" s="901"/>
      <c r="DB11" s="901"/>
      <c r="DC11" s="901"/>
      <c r="DD11" s="901"/>
      <c r="DE11" s="901"/>
      <c r="DF11" s="901"/>
      <c r="DG11" s="901"/>
      <c r="DH11" s="901"/>
      <c r="DI11" s="901"/>
      <c r="DJ11" s="902"/>
      <c r="DK11" s="903"/>
      <c r="DL11" s="898"/>
      <c r="DM11" s="898"/>
      <c r="DN11" s="898"/>
      <c r="DO11" s="898"/>
      <c r="DP11" s="898"/>
      <c r="DQ11" s="898"/>
      <c r="DR11" s="898"/>
      <c r="DS11" s="898"/>
      <c r="DT11" s="898"/>
      <c r="DU11" s="898"/>
      <c r="DV11" s="898"/>
      <c r="DW11" s="898"/>
      <c r="DX11" s="898"/>
      <c r="DY11" s="898"/>
      <c r="DZ11" s="898"/>
      <c r="EA11" s="898"/>
      <c r="EB11" s="898"/>
      <c r="EC11" s="898"/>
      <c r="ED11" s="898"/>
      <c r="EE11" s="898"/>
      <c r="EF11" s="898"/>
      <c r="EG11" s="898"/>
      <c r="EH11" s="898"/>
      <c r="EI11" s="898"/>
      <c r="EJ11" s="898"/>
      <c r="EK11" s="898"/>
      <c r="EL11" s="898"/>
      <c r="EM11" s="898"/>
      <c r="EN11" s="898"/>
      <c r="EO11" s="898"/>
      <c r="EP11" s="898"/>
      <c r="EQ11" s="898"/>
      <c r="ER11" s="898"/>
      <c r="ES11" s="898"/>
      <c r="ET11" s="898"/>
      <c r="EU11" s="898"/>
      <c r="EV11" s="898"/>
      <c r="EW11" s="898"/>
      <c r="EX11" s="898"/>
      <c r="EY11" s="898"/>
      <c r="EZ11" s="898"/>
      <c r="FA11" s="898"/>
      <c r="FB11" s="898"/>
      <c r="FC11" s="898"/>
      <c r="FD11" s="898"/>
      <c r="FE11" s="898"/>
      <c r="FF11" s="898"/>
      <c r="FG11" s="898"/>
      <c r="FH11" s="898"/>
      <c r="FI11" s="898"/>
      <c r="FJ11" s="898"/>
      <c r="FK11" s="898"/>
      <c r="FL11" s="898"/>
      <c r="FM11" s="898"/>
      <c r="FN11" s="898"/>
      <c r="FO11" s="898"/>
      <c r="FP11" s="898"/>
      <c r="FQ11" s="898"/>
      <c r="FR11" s="898"/>
      <c r="FS11" s="898"/>
      <c r="FT11" s="898"/>
      <c r="FU11" s="898"/>
      <c r="FV11" s="898"/>
      <c r="FW11" s="893"/>
      <c r="FX11" s="60"/>
    </row>
    <row r="12" ht="12" customHeight="1">
      <c r="D12" s="874"/>
      <c r="E12" s="896"/>
      <c r="F12" s="345"/>
      <c r="G12" s="345"/>
      <c r="H12" s="345"/>
      <c r="I12" s="345"/>
      <c r="J12" s="897"/>
      <c r="K12" s="897"/>
      <c r="L12" s="897"/>
      <c r="M12" s="897"/>
      <c r="N12" s="897"/>
      <c r="O12" s="347" t="s">
        <v>975</v>
      </c>
      <c r="P12" s="347"/>
      <c r="Q12" s="347"/>
      <c r="R12" s="347"/>
      <c r="S12" s="347" t="s">
        <v>976</v>
      </c>
      <c r="T12" s="347"/>
      <c r="U12" s="347"/>
      <c r="V12" s="347"/>
      <c r="W12" s="347"/>
      <c r="X12" s="347"/>
      <c r="Y12" s="347"/>
      <c r="Z12" s="347"/>
      <c r="AA12" s="347"/>
      <c r="AB12" s="347"/>
      <c r="AC12" s="898"/>
      <c r="AD12" s="898"/>
      <c r="AE12" s="898"/>
      <c r="AF12" s="898"/>
      <c r="AG12" s="898"/>
      <c r="AH12" s="898"/>
      <c r="AI12" s="898"/>
      <c r="AJ12" s="898"/>
      <c r="AK12" s="898"/>
      <c r="AL12" s="898"/>
      <c r="AM12" s="898"/>
      <c r="AN12" s="898"/>
      <c r="AO12" s="898"/>
      <c r="AP12" s="898"/>
      <c r="AQ12" s="898"/>
      <c r="AR12" s="898"/>
      <c r="AS12" s="898"/>
      <c r="AT12" s="898"/>
      <c r="AU12" s="898"/>
      <c r="AV12" s="898"/>
      <c r="AW12" s="898"/>
      <c r="AX12" s="898"/>
      <c r="AY12" s="898"/>
      <c r="AZ12" s="898"/>
      <c r="BA12" s="898"/>
      <c r="BB12" s="898"/>
      <c r="BC12" s="898"/>
      <c r="BD12" s="898"/>
      <c r="BE12" s="898"/>
      <c r="BF12" s="898"/>
      <c r="BG12" s="898"/>
      <c r="BH12" s="898"/>
      <c r="BI12" s="898"/>
      <c r="BJ12" s="898"/>
      <c r="BK12" s="898"/>
      <c r="BL12" s="898"/>
      <c r="BM12" s="898"/>
      <c r="BN12" s="898"/>
      <c r="BO12" s="898"/>
      <c r="BP12" s="898"/>
      <c r="BQ12" s="898"/>
      <c r="BR12" s="898"/>
      <c r="BS12" s="899"/>
      <c r="BT12" s="900" t="s">
        <v>977</v>
      </c>
      <c r="BU12" s="901"/>
      <c r="BV12" s="901"/>
      <c r="BW12" s="902"/>
      <c r="BX12" s="900" t="s">
        <v>978</v>
      </c>
      <c r="BY12" s="901"/>
      <c r="BZ12" s="901"/>
      <c r="CA12" s="902"/>
      <c r="CB12" s="900" t="s">
        <v>979</v>
      </c>
      <c r="CC12" s="902"/>
      <c r="CD12" s="900" t="s">
        <v>980</v>
      </c>
      <c r="CE12" s="901"/>
      <c r="CF12" s="901"/>
      <c r="CG12" s="901"/>
      <c r="CH12" s="901"/>
      <c r="CI12" s="901"/>
      <c r="CJ12" s="901"/>
      <c r="CK12" s="902"/>
      <c r="CL12" s="903"/>
      <c r="CM12" s="898"/>
      <c r="CN12" s="898"/>
      <c r="CO12" s="898"/>
      <c r="CP12" s="898"/>
      <c r="CQ12" s="898"/>
      <c r="CR12" s="898"/>
      <c r="CS12" s="898"/>
      <c r="CT12" s="898"/>
      <c r="CU12" s="898"/>
      <c r="CV12" s="898"/>
      <c r="CW12" s="898"/>
      <c r="CX12" s="899"/>
      <c r="CY12" s="900" t="s">
        <v>981</v>
      </c>
      <c r="CZ12" s="901"/>
      <c r="DA12" s="901"/>
      <c r="DB12" s="901"/>
      <c r="DC12" s="901"/>
      <c r="DD12" s="902"/>
      <c r="DE12" s="900" t="s">
        <v>982</v>
      </c>
      <c r="DF12" s="902"/>
      <c r="DG12" s="900" t="s">
        <v>980</v>
      </c>
      <c r="DH12" s="901"/>
      <c r="DI12" s="901"/>
      <c r="DJ12" s="902"/>
      <c r="DK12" s="903"/>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898"/>
      <c r="EN12" s="898"/>
      <c r="EO12" s="898"/>
      <c r="EP12" s="898"/>
      <c r="EQ12" s="898"/>
      <c r="ER12" s="898"/>
      <c r="ES12" s="898"/>
      <c r="ET12" s="898"/>
      <c r="EU12" s="898"/>
      <c r="EV12" s="898"/>
      <c r="EW12" s="898"/>
      <c r="EX12" s="898"/>
      <c r="EY12" s="898"/>
      <c r="EZ12" s="898"/>
      <c r="FA12" s="898"/>
      <c r="FB12" s="898"/>
      <c r="FC12" s="898"/>
      <c r="FD12" s="898"/>
      <c r="FE12" s="898"/>
      <c r="FF12" s="898"/>
      <c r="FG12" s="898"/>
      <c r="FH12" s="898"/>
      <c r="FI12" s="898"/>
      <c r="FJ12" s="898"/>
      <c r="FK12" s="898"/>
      <c r="FL12" s="898"/>
      <c r="FM12" s="898"/>
      <c r="FN12" s="898"/>
      <c r="FO12" s="898"/>
      <c r="FP12" s="898"/>
      <c r="FQ12" s="898"/>
      <c r="FR12" s="898"/>
      <c r="FS12" s="898"/>
      <c r="FT12" s="898"/>
      <c r="FU12" s="898"/>
      <c r="FV12" s="898"/>
      <c r="FW12" s="893"/>
      <c r="FX12" s="60"/>
    </row>
    <row r="13" ht="36" customHeight="1">
      <c r="D13" s="874"/>
      <c r="E13" s="896"/>
      <c r="F13" s="345"/>
      <c r="G13" s="345"/>
      <c r="H13" s="345"/>
      <c r="I13" s="345"/>
      <c r="J13" s="897"/>
      <c r="K13" s="897"/>
      <c r="L13" s="897"/>
      <c r="M13" s="897"/>
      <c r="N13" s="897"/>
      <c r="O13" s="347" t="s">
        <v>983</v>
      </c>
      <c r="P13" s="347"/>
      <c r="Q13" s="347"/>
      <c r="R13" s="347"/>
      <c r="S13" s="643" t="s">
        <v>984</v>
      </c>
      <c r="T13" s="853"/>
      <c r="U13" s="156" t="s">
        <v>985</v>
      </c>
      <c r="V13" s="156"/>
      <c r="W13" s="156"/>
      <c r="X13" s="156"/>
      <c r="Y13" s="156" t="s">
        <v>986</v>
      </c>
      <c r="Z13" s="156"/>
      <c r="AA13" s="156"/>
      <c r="AB13" s="156"/>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98"/>
      <c r="AZ13" s="898"/>
      <c r="BA13" s="898"/>
      <c r="BB13" s="898"/>
      <c r="BC13" s="898"/>
      <c r="BD13" s="898"/>
      <c r="BE13" s="898"/>
      <c r="BF13" s="898"/>
      <c r="BG13" s="898"/>
      <c r="BH13" s="898"/>
      <c r="BI13" s="898"/>
      <c r="BJ13" s="898"/>
      <c r="BK13" s="898"/>
      <c r="BL13" s="898"/>
      <c r="BM13" s="898"/>
      <c r="BN13" s="898"/>
      <c r="BO13" s="898"/>
      <c r="BP13" s="898"/>
      <c r="BQ13" s="898"/>
      <c r="BR13" s="898"/>
      <c r="BS13" s="899"/>
      <c r="BT13" s="643" t="s">
        <v>987</v>
      </c>
      <c r="BU13" s="853"/>
      <c r="BV13" s="643" t="s">
        <v>988</v>
      </c>
      <c r="BW13" s="853"/>
      <c r="BX13" s="643" t="s">
        <v>989</v>
      </c>
      <c r="BY13" s="853"/>
      <c r="BZ13" s="643" t="s">
        <v>990</v>
      </c>
      <c r="CA13" s="853"/>
      <c r="CB13" s="643" t="s">
        <v>991</v>
      </c>
      <c r="CC13" s="853"/>
      <c r="CD13" s="643" t="s">
        <v>992</v>
      </c>
      <c r="CE13" s="853"/>
      <c r="CF13" s="643" t="s">
        <v>993</v>
      </c>
      <c r="CG13" s="853"/>
      <c r="CH13" s="900" t="s">
        <v>994</v>
      </c>
      <c r="CI13" s="901"/>
      <c r="CJ13" s="901"/>
      <c r="CK13" s="902"/>
      <c r="CL13" s="903"/>
      <c r="CM13" s="898"/>
      <c r="CN13" s="898"/>
      <c r="CO13" s="898"/>
      <c r="CP13" s="898"/>
      <c r="CQ13" s="898"/>
      <c r="CR13" s="898"/>
      <c r="CS13" s="898"/>
      <c r="CT13" s="898"/>
      <c r="CU13" s="898"/>
      <c r="CV13" s="898"/>
      <c r="CW13" s="898"/>
      <c r="CX13" s="899"/>
      <c r="CY13" s="643" t="s">
        <v>995</v>
      </c>
      <c r="CZ13" s="853"/>
      <c r="DA13" s="643" t="s">
        <v>996</v>
      </c>
      <c r="DB13" s="853"/>
      <c r="DC13" s="643" t="s">
        <v>997</v>
      </c>
      <c r="DD13" s="853"/>
      <c r="DE13" s="643" t="s">
        <v>998</v>
      </c>
      <c r="DF13" s="853"/>
      <c r="DG13" s="900" t="s">
        <v>999</v>
      </c>
      <c r="DH13" s="901"/>
      <c r="DI13" s="901"/>
      <c r="DJ13" s="902"/>
      <c r="DK13" s="903"/>
      <c r="DL13" s="898"/>
      <c r="DM13" s="898"/>
      <c r="DN13" s="898"/>
      <c r="DO13" s="898"/>
      <c r="DP13" s="898"/>
      <c r="DQ13" s="898"/>
      <c r="DR13" s="898"/>
      <c r="DS13" s="898"/>
      <c r="DT13" s="898"/>
      <c r="DU13" s="898"/>
      <c r="DV13" s="898"/>
      <c r="DW13" s="898"/>
      <c r="DX13" s="898"/>
      <c r="DY13" s="898"/>
      <c r="DZ13" s="898"/>
      <c r="EA13" s="898"/>
      <c r="EB13" s="898"/>
      <c r="EC13" s="898"/>
      <c r="ED13" s="898"/>
      <c r="EE13" s="898"/>
      <c r="EF13" s="898"/>
      <c r="EG13" s="898"/>
      <c r="EH13" s="898"/>
      <c r="EI13" s="898"/>
      <c r="EJ13" s="898"/>
      <c r="EK13" s="898"/>
      <c r="EL13" s="898"/>
      <c r="EM13" s="898"/>
      <c r="EN13" s="898"/>
      <c r="EO13" s="898"/>
      <c r="EP13" s="898"/>
      <c r="EQ13" s="898"/>
      <c r="ER13" s="898"/>
      <c r="ES13" s="898"/>
      <c r="ET13" s="898"/>
      <c r="EU13" s="898"/>
      <c r="EV13" s="898"/>
      <c r="EW13" s="898"/>
      <c r="EX13" s="898"/>
      <c r="EY13" s="898"/>
      <c r="EZ13" s="898"/>
      <c r="FA13" s="898"/>
      <c r="FB13" s="898"/>
      <c r="FC13" s="898"/>
      <c r="FD13" s="898"/>
      <c r="FE13" s="898"/>
      <c r="FF13" s="898"/>
      <c r="FG13" s="898"/>
      <c r="FH13" s="898"/>
      <c r="FI13" s="898"/>
      <c r="FJ13" s="898"/>
      <c r="FK13" s="898"/>
      <c r="FL13" s="898"/>
      <c r="FM13" s="898"/>
      <c r="FN13" s="898"/>
      <c r="FO13" s="898"/>
      <c r="FP13" s="898"/>
      <c r="FQ13" s="898"/>
      <c r="FR13" s="898"/>
      <c r="FS13" s="898"/>
      <c r="FT13" s="898"/>
      <c r="FU13" s="898"/>
      <c r="FV13" s="898"/>
      <c r="FW13" s="893"/>
      <c r="FX13" s="60"/>
    </row>
    <row r="14" ht="36" customHeight="1">
      <c r="D14" s="874"/>
      <c r="E14" s="896"/>
      <c r="F14" s="345"/>
      <c r="G14" s="345"/>
      <c r="H14" s="345"/>
      <c r="I14" s="345"/>
      <c r="J14" s="897"/>
      <c r="K14" s="897"/>
      <c r="L14" s="897"/>
      <c r="M14" s="897"/>
      <c r="N14" s="897"/>
      <c r="O14" s="643" t="s">
        <v>1000</v>
      </c>
      <c r="P14" s="853"/>
      <c r="Q14" s="643" t="s">
        <v>1001</v>
      </c>
      <c r="R14" s="853"/>
      <c r="S14" s="646"/>
      <c r="T14" s="359"/>
      <c r="U14" s="643" t="s">
        <v>732</v>
      </c>
      <c r="V14" s="853"/>
      <c r="W14" s="643" t="s">
        <v>735</v>
      </c>
      <c r="X14" s="853"/>
      <c r="Y14" s="643" t="s">
        <v>732</v>
      </c>
      <c r="Z14" s="853"/>
      <c r="AA14" s="643" t="s">
        <v>742</v>
      </c>
      <c r="AB14" s="853"/>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BB14" s="898"/>
      <c r="BC14" s="898"/>
      <c r="BD14" s="898"/>
      <c r="BE14" s="898"/>
      <c r="BF14" s="898"/>
      <c r="BG14" s="898"/>
      <c r="BH14" s="898"/>
      <c r="BI14" s="898"/>
      <c r="BJ14" s="898"/>
      <c r="BK14" s="898"/>
      <c r="BL14" s="898"/>
      <c r="BM14" s="898"/>
      <c r="BN14" s="898"/>
      <c r="BO14" s="898"/>
      <c r="BP14" s="898"/>
      <c r="BQ14" s="898"/>
      <c r="BR14" s="898"/>
      <c r="BS14" s="899"/>
      <c r="BT14" s="646"/>
      <c r="BU14" s="359"/>
      <c r="BV14" s="646"/>
      <c r="BW14" s="359"/>
      <c r="BX14" s="646"/>
      <c r="BY14" s="359"/>
      <c r="BZ14" s="646"/>
      <c r="CA14" s="359"/>
      <c r="CB14" s="646"/>
      <c r="CC14" s="359"/>
      <c r="CD14" s="646"/>
      <c r="CE14" s="359"/>
      <c r="CF14" s="646"/>
      <c r="CG14" s="359"/>
      <c r="CH14" s="643" t="s">
        <v>1002</v>
      </c>
      <c r="CI14" s="853"/>
      <c r="CJ14" s="643" t="s">
        <v>1003</v>
      </c>
      <c r="CK14" s="853"/>
      <c r="CL14" s="903"/>
      <c r="CM14" s="898"/>
      <c r="CN14" s="898"/>
      <c r="CO14" s="898"/>
      <c r="CP14" s="898"/>
      <c r="CQ14" s="898"/>
      <c r="CR14" s="898"/>
      <c r="CS14" s="898"/>
      <c r="CT14" s="898"/>
      <c r="CU14" s="898"/>
      <c r="CV14" s="898"/>
      <c r="CW14" s="898"/>
      <c r="CX14" s="899"/>
      <c r="CY14" s="646"/>
      <c r="CZ14" s="359"/>
      <c r="DA14" s="646"/>
      <c r="DB14" s="359"/>
      <c r="DC14" s="646"/>
      <c r="DD14" s="359"/>
      <c r="DE14" s="646"/>
      <c r="DF14" s="359"/>
      <c r="DG14" s="643" t="s">
        <v>1004</v>
      </c>
      <c r="DH14" s="853"/>
      <c r="DI14" s="643" t="s">
        <v>1005</v>
      </c>
      <c r="DJ14" s="853"/>
      <c r="DK14" s="903"/>
      <c r="DL14" s="898"/>
      <c r="DM14" s="898"/>
      <c r="DN14" s="898"/>
      <c r="DO14" s="898"/>
      <c r="DP14" s="898"/>
      <c r="DQ14" s="898"/>
      <c r="DR14" s="898"/>
      <c r="DS14" s="898"/>
      <c r="DT14" s="898"/>
      <c r="DU14" s="898"/>
      <c r="DV14" s="898"/>
      <c r="DW14" s="898"/>
      <c r="DX14" s="898"/>
      <c r="DY14" s="898"/>
      <c r="DZ14" s="898"/>
      <c r="EA14" s="898"/>
      <c r="EB14" s="898"/>
      <c r="EC14" s="898"/>
      <c r="ED14" s="898"/>
      <c r="EE14" s="898"/>
      <c r="EF14" s="898"/>
      <c r="EG14" s="898"/>
      <c r="EH14" s="898"/>
      <c r="EI14" s="898"/>
      <c r="EJ14" s="898"/>
      <c r="EK14" s="898"/>
      <c r="EL14" s="898"/>
      <c r="EM14" s="898"/>
      <c r="EN14" s="898"/>
      <c r="EO14" s="898"/>
      <c r="EP14" s="898"/>
      <c r="EQ14" s="898"/>
      <c r="ER14" s="898"/>
      <c r="ES14" s="898"/>
      <c r="ET14" s="898"/>
      <c r="EU14" s="898"/>
      <c r="EV14" s="898"/>
      <c r="EW14" s="898"/>
      <c r="EX14" s="898"/>
      <c r="EY14" s="898"/>
      <c r="EZ14" s="898"/>
      <c r="FA14" s="898"/>
      <c r="FB14" s="898"/>
      <c r="FC14" s="898"/>
      <c r="FD14" s="898"/>
      <c r="FE14" s="898"/>
      <c r="FF14" s="898"/>
      <c r="FG14" s="898"/>
      <c r="FH14" s="898"/>
      <c r="FI14" s="898"/>
      <c r="FJ14" s="898"/>
      <c r="FK14" s="898"/>
      <c r="FL14" s="898"/>
      <c r="FM14" s="898"/>
      <c r="FN14" s="898"/>
      <c r="FO14" s="898"/>
      <c r="FP14" s="898"/>
      <c r="FQ14" s="898"/>
      <c r="FR14" s="898"/>
      <c r="FS14" s="898"/>
      <c r="FT14" s="898"/>
      <c r="FU14" s="898"/>
      <c r="FV14" s="898"/>
      <c r="FW14" s="893"/>
      <c r="FX14" s="60"/>
    </row>
    <row r="15" ht="36" customHeight="1">
      <c r="D15" s="874"/>
      <c r="E15" s="896"/>
      <c r="F15" s="345"/>
      <c r="G15" s="345"/>
      <c r="H15" s="345"/>
      <c r="I15" s="345"/>
      <c r="J15" s="897"/>
      <c r="K15" s="897"/>
      <c r="L15" s="897"/>
      <c r="M15" s="897"/>
      <c r="N15" s="897"/>
      <c r="O15" s="651"/>
      <c r="P15" s="854"/>
      <c r="Q15" s="651"/>
      <c r="R15" s="854"/>
      <c r="S15" s="651"/>
      <c r="T15" s="854"/>
      <c r="U15" s="651"/>
      <c r="V15" s="854"/>
      <c r="W15" s="651"/>
      <c r="X15" s="854"/>
      <c r="Y15" s="651"/>
      <c r="Z15" s="854"/>
      <c r="AA15" s="651"/>
      <c r="AB15" s="854"/>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8"/>
      <c r="AY15" s="898"/>
      <c r="AZ15" s="898"/>
      <c r="BA15" s="898"/>
      <c r="BB15" s="898"/>
      <c r="BC15" s="898"/>
      <c r="BD15" s="898"/>
      <c r="BE15" s="898"/>
      <c r="BF15" s="898"/>
      <c r="BG15" s="898"/>
      <c r="BH15" s="898"/>
      <c r="BI15" s="898"/>
      <c r="BJ15" s="898"/>
      <c r="BK15" s="898"/>
      <c r="BL15" s="898"/>
      <c r="BM15" s="898"/>
      <c r="BN15" s="898"/>
      <c r="BO15" s="898"/>
      <c r="BP15" s="898"/>
      <c r="BQ15" s="898"/>
      <c r="BR15" s="898"/>
      <c r="BS15" s="899"/>
      <c r="BT15" s="651"/>
      <c r="BU15" s="854"/>
      <c r="BV15" s="651"/>
      <c r="BW15" s="854"/>
      <c r="BX15" s="651"/>
      <c r="BY15" s="854"/>
      <c r="BZ15" s="651"/>
      <c r="CA15" s="854"/>
      <c r="CB15" s="651"/>
      <c r="CC15" s="854"/>
      <c r="CD15" s="651"/>
      <c r="CE15" s="854"/>
      <c r="CF15" s="651"/>
      <c r="CG15" s="854"/>
      <c r="CH15" s="651"/>
      <c r="CI15" s="854"/>
      <c r="CJ15" s="651"/>
      <c r="CK15" s="854"/>
      <c r="CL15" s="903"/>
      <c r="CM15" s="898"/>
      <c r="CN15" s="898"/>
      <c r="CO15" s="898"/>
      <c r="CP15" s="898"/>
      <c r="CQ15" s="898"/>
      <c r="CR15" s="898"/>
      <c r="CS15" s="898"/>
      <c r="CT15" s="898"/>
      <c r="CU15" s="898"/>
      <c r="CV15" s="898"/>
      <c r="CW15" s="898"/>
      <c r="CX15" s="899"/>
      <c r="CY15" s="651"/>
      <c r="CZ15" s="854"/>
      <c r="DA15" s="651"/>
      <c r="DB15" s="854"/>
      <c r="DC15" s="651"/>
      <c r="DD15" s="854"/>
      <c r="DE15" s="651"/>
      <c r="DF15" s="854"/>
      <c r="DG15" s="651"/>
      <c r="DH15" s="854"/>
      <c r="DI15" s="651"/>
      <c r="DJ15" s="854"/>
      <c r="DK15" s="903"/>
      <c r="DL15" s="898"/>
      <c r="DM15" s="898"/>
      <c r="DN15" s="898"/>
      <c r="DO15" s="898"/>
      <c r="DP15" s="898"/>
      <c r="DQ15" s="898"/>
      <c r="DR15" s="898"/>
      <c r="DS15" s="898"/>
      <c r="DT15" s="898"/>
      <c r="DU15" s="898"/>
      <c r="DV15" s="898"/>
      <c r="DW15" s="898"/>
      <c r="DX15" s="898"/>
      <c r="DY15" s="898"/>
      <c r="DZ15" s="898"/>
      <c r="EA15" s="898"/>
      <c r="EB15" s="898"/>
      <c r="EC15" s="898"/>
      <c r="ED15" s="898"/>
      <c r="EE15" s="898"/>
      <c r="EF15" s="898"/>
      <c r="EG15" s="898"/>
      <c r="EH15" s="898"/>
      <c r="EI15" s="898"/>
      <c r="EJ15" s="898"/>
      <c r="EK15" s="898"/>
      <c r="EL15" s="898"/>
      <c r="EM15" s="898"/>
      <c r="EN15" s="898"/>
      <c r="EO15" s="898"/>
      <c r="EP15" s="898"/>
      <c r="EQ15" s="898"/>
      <c r="ER15" s="898"/>
      <c r="ES15" s="898"/>
      <c r="ET15" s="898"/>
      <c r="EU15" s="898"/>
      <c r="EV15" s="898"/>
      <c r="EW15" s="898"/>
      <c r="EX15" s="898"/>
      <c r="EY15" s="898"/>
      <c r="EZ15" s="898"/>
      <c r="FA15" s="898"/>
      <c r="FB15" s="898"/>
      <c r="FC15" s="898"/>
      <c r="FD15" s="898"/>
      <c r="FE15" s="898"/>
      <c r="FF15" s="898"/>
      <c r="FG15" s="898"/>
      <c r="FH15" s="898"/>
      <c r="FI15" s="898"/>
      <c r="FJ15" s="898"/>
      <c r="FK15" s="898"/>
      <c r="FL15" s="898"/>
      <c r="FM15" s="898"/>
      <c r="FN15" s="898"/>
      <c r="FO15" s="898"/>
      <c r="FP15" s="898"/>
      <c r="FQ15" s="898"/>
      <c r="FR15" s="898"/>
      <c r="FS15" s="898"/>
      <c r="FT15" s="898"/>
      <c r="FU15" s="898"/>
      <c r="FV15" s="898"/>
      <c r="FW15" s="893"/>
      <c r="FX15" s="60"/>
    </row>
    <row r="16" ht="12" customHeight="1">
      <c r="D16" s="874"/>
      <c r="E16" s="896"/>
      <c r="F16" s="345"/>
      <c r="G16" s="345"/>
      <c r="H16" s="345"/>
      <c r="I16" s="345"/>
      <c r="J16" s="897"/>
      <c r="K16" s="897"/>
      <c r="L16" s="897"/>
      <c r="M16" s="897"/>
      <c r="N16" s="897"/>
      <c r="O16" s="900" t="s">
        <v>722</v>
      </c>
      <c r="P16" s="902"/>
      <c r="Q16" s="900" t="s">
        <v>724</v>
      </c>
      <c r="R16" s="902"/>
      <c r="S16" s="900" t="s">
        <v>728</v>
      </c>
      <c r="T16" s="902"/>
      <c r="U16" s="900" t="s">
        <v>733</v>
      </c>
      <c r="V16" s="902"/>
      <c r="W16" s="900" t="s">
        <v>736</v>
      </c>
      <c r="X16" s="902"/>
      <c r="Y16" s="900" t="s">
        <v>740</v>
      </c>
      <c r="Z16" s="902"/>
      <c r="AA16" s="900" t="s">
        <v>743</v>
      </c>
      <c r="AB16" s="902"/>
      <c r="AC16" s="898"/>
      <c r="AD16" s="898"/>
      <c r="AE16" s="898"/>
      <c r="AF16" s="898"/>
      <c r="AG16" s="898"/>
      <c r="AH16" s="898"/>
      <c r="AI16" s="898"/>
      <c r="AJ16" s="898"/>
      <c r="AK16" s="898"/>
      <c r="AL16" s="898"/>
      <c r="AM16" s="898"/>
      <c r="AN16" s="898"/>
      <c r="AO16" s="898"/>
      <c r="AP16" s="898"/>
      <c r="AQ16" s="898"/>
      <c r="AR16" s="898"/>
      <c r="AS16" s="898"/>
      <c r="AT16" s="898"/>
      <c r="AU16" s="898"/>
      <c r="AV16" s="898"/>
      <c r="AW16" s="898"/>
      <c r="AX16" s="898"/>
      <c r="AY16" s="898"/>
      <c r="AZ16" s="898"/>
      <c r="BA16" s="898"/>
      <c r="BB16" s="898"/>
      <c r="BC16" s="898"/>
      <c r="BD16" s="898"/>
      <c r="BE16" s="898"/>
      <c r="BF16" s="898"/>
      <c r="BG16" s="898"/>
      <c r="BH16" s="898"/>
      <c r="BI16" s="898"/>
      <c r="BJ16" s="898"/>
      <c r="BK16" s="898"/>
      <c r="BL16" s="898"/>
      <c r="BM16" s="898"/>
      <c r="BN16" s="898"/>
      <c r="BO16" s="898"/>
      <c r="BP16" s="898"/>
      <c r="BQ16" s="898"/>
      <c r="BR16" s="898"/>
      <c r="BS16" s="899"/>
      <c r="BT16" s="900" t="s">
        <v>540</v>
      </c>
      <c r="BU16" s="902"/>
      <c r="BV16" s="900" t="s">
        <v>540</v>
      </c>
      <c r="BW16" s="902"/>
      <c r="BX16" s="900" t="s">
        <v>540</v>
      </c>
      <c r="BY16" s="902"/>
      <c r="BZ16" s="900" t="s">
        <v>540</v>
      </c>
      <c r="CA16" s="902"/>
      <c r="CB16" s="900" t="s">
        <v>1006</v>
      </c>
      <c r="CC16" s="902"/>
      <c r="CD16" s="900" t="s">
        <v>540</v>
      </c>
      <c r="CE16" s="902"/>
      <c r="CF16" s="900" t="s">
        <v>1007</v>
      </c>
      <c r="CG16" s="902"/>
      <c r="CH16" s="900" t="s">
        <v>1008</v>
      </c>
      <c r="CI16" s="902"/>
      <c r="CJ16" s="900" t="s">
        <v>1008</v>
      </c>
      <c r="CK16" s="902"/>
      <c r="CL16" s="903"/>
      <c r="CM16" s="898"/>
      <c r="CN16" s="898"/>
      <c r="CO16" s="898"/>
      <c r="CP16" s="898"/>
      <c r="CQ16" s="898"/>
      <c r="CR16" s="898"/>
      <c r="CS16" s="898"/>
      <c r="CT16" s="898"/>
      <c r="CU16" s="898"/>
      <c r="CV16" s="898"/>
      <c r="CW16" s="898"/>
      <c r="CX16" s="899"/>
      <c r="CY16" s="643" t="s">
        <v>540</v>
      </c>
      <c r="CZ16" s="853"/>
      <c r="DA16" s="643" t="s">
        <v>540</v>
      </c>
      <c r="DB16" s="853"/>
      <c r="DC16" s="643" t="s">
        <v>540</v>
      </c>
      <c r="DD16" s="853"/>
      <c r="DE16" s="900" t="s">
        <v>1006</v>
      </c>
      <c r="DF16" s="902"/>
      <c r="DG16" s="900" t="s">
        <v>1009</v>
      </c>
      <c r="DH16" s="902"/>
      <c r="DI16" s="900" t="s">
        <v>1009</v>
      </c>
      <c r="DJ16" s="902"/>
      <c r="DK16" s="903"/>
      <c r="DL16" s="898"/>
      <c r="DM16" s="898"/>
      <c r="DN16" s="898"/>
      <c r="DO16" s="898"/>
      <c r="DP16" s="898"/>
      <c r="DQ16" s="898"/>
      <c r="DR16" s="898"/>
      <c r="DS16" s="898"/>
      <c r="DT16" s="898"/>
      <c r="DU16" s="898"/>
      <c r="DV16" s="898"/>
      <c r="DW16" s="898"/>
      <c r="DX16" s="898"/>
      <c r="DY16" s="898"/>
      <c r="DZ16" s="898"/>
      <c r="EA16" s="898"/>
      <c r="EB16" s="898"/>
      <c r="EC16" s="898"/>
      <c r="ED16" s="898"/>
      <c r="EE16" s="898"/>
      <c r="EF16" s="898"/>
      <c r="EG16" s="898"/>
      <c r="EH16" s="898"/>
      <c r="EI16" s="898"/>
      <c r="EJ16" s="898"/>
      <c r="EK16" s="898"/>
      <c r="EL16" s="898"/>
      <c r="EM16" s="898"/>
      <c r="EN16" s="898"/>
      <c r="EO16" s="898"/>
      <c r="EP16" s="898"/>
      <c r="EQ16" s="898"/>
      <c r="ER16" s="898"/>
      <c r="ES16" s="898"/>
      <c r="ET16" s="898"/>
      <c r="EU16" s="898"/>
      <c r="EV16" s="898"/>
      <c r="EW16" s="898"/>
      <c r="EX16" s="898"/>
      <c r="EY16" s="898"/>
      <c r="EZ16" s="898"/>
      <c r="FA16" s="898"/>
      <c r="FB16" s="898"/>
      <c r="FC16" s="898"/>
      <c r="FD16" s="898"/>
      <c r="FE16" s="898"/>
      <c r="FF16" s="898"/>
      <c r="FG16" s="898"/>
      <c r="FH16" s="898"/>
      <c r="FI16" s="898"/>
      <c r="FJ16" s="898"/>
      <c r="FK16" s="898"/>
      <c r="FL16" s="898"/>
      <c r="FM16" s="898"/>
      <c r="FN16" s="898"/>
      <c r="FO16" s="898"/>
      <c r="FP16" s="898"/>
      <c r="FQ16" s="898"/>
      <c r="FR16" s="898"/>
      <c r="FS16" s="898"/>
      <c r="FT16" s="898"/>
      <c r="FU16" s="898"/>
      <c r="FV16" s="898"/>
      <c r="FW16" s="893"/>
      <c r="FX16" s="60"/>
    </row>
    <row r="17" ht="15" customHeight="1">
      <c r="E17" s="896"/>
      <c r="F17" s="345"/>
      <c r="G17" s="345"/>
      <c r="H17" s="345"/>
      <c r="I17" s="345"/>
      <c r="J17" s="897"/>
      <c r="K17" s="897"/>
      <c r="L17" s="897"/>
      <c r="M17" s="897"/>
      <c r="N17" s="897"/>
      <c r="O17" s="347" t="s">
        <v>1010</v>
      </c>
      <c r="P17" s="347" t="s">
        <v>1011</v>
      </c>
      <c r="Q17" s="347" t="s">
        <v>1010</v>
      </c>
      <c r="R17" s="347" t="s">
        <v>1011</v>
      </c>
      <c r="S17" s="347" t="s">
        <v>1010</v>
      </c>
      <c r="T17" s="347" t="s">
        <v>1011</v>
      </c>
      <c r="U17" s="347" t="s">
        <v>1010</v>
      </c>
      <c r="V17" s="347" t="s">
        <v>1011</v>
      </c>
      <c r="W17" s="347" t="s">
        <v>1010</v>
      </c>
      <c r="X17" s="347" t="s">
        <v>1011</v>
      </c>
      <c r="Y17" s="347" t="s">
        <v>1010</v>
      </c>
      <c r="Z17" s="347" t="s">
        <v>1011</v>
      </c>
      <c r="AA17" s="347" t="s">
        <v>1010</v>
      </c>
      <c r="AB17" s="347" t="s">
        <v>1011</v>
      </c>
      <c r="AC17" s="898"/>
      <c r="AD17" s="898"/>
      <c r="AE17" s="898"/>
      <c r="AF17" s="898"/>
      <c r="AG17" s="898"/>
      <c r="AH17" s="898"/>
      <c r="AI17" s="898"/>
      <c r="AJ17" s="898"/>
      <c r="AK17" s="898"/>
      <c r="AL17" s="898"/>
      <c r="AM17" s="898"/>
      <c r="AN17" s="898"/>
      <c r="AO17" s="898"/>
      <c r="AP17" s="898"/>
      <c r="AQ17" s="898"/>
      <c r="AR17" s="898"/>
      <c r="AS17" s="898"/>
      <c r="AT17" s="898"/>
      <c r="AU17" s="898"/>
      <c r="AV17" s="898"/>
      <c r="AW17" s="898"/>
      <c r="AX17" s="898"/>
      <c r="AY17" s="898"/>
      <c r="AZ17" s="898"/>
      <c r="BA17" s="898"/>
      <c r="BB17" s="898"/>
      <c r="BC17" s="898"/>
      <c r="BD17" s="898"/>
      <c r="BE17" s="898"/>
      <c r="BF17" s="898"/>
      <c r="BG17" s="898"/>
      <c r="BH17" s="898"/>
      <c r="BI17" s="898"/>
      <c r="BJ17" s="898"/>
      <c r="BK17" s="898"/>
      <c r="BL17" s="898"/>
      <c r="BM17" s="898"/>
      <c r="BN17" s="898"/>
      <c r="BO17" s="898"/>
      <c r="BP17" s="898"/>
      <c r="BQ17" s="898"/>
      <c r="BR17" s="898"/>
      <c r="BS17" s="899"/>
      <c r="BT17" s="347" t="s">
        <v>1010</v>
      </c>
      <c r="BU17" s="347" t="s">
        <v>1011</v>
      </c>
      <c r="BV17" s="347" t="s">
        <v>1010</v>
      </c>
      <c r="BW17" s="347" t="s">
        <v>1011</v>
      </c>
      <c r="BX17" s="347" t="s">
        <v>1010</v>
      </c>
      <c r="BY17" s="347" t="s">
        <v>1011</v>
      </c>
      <c r="BZ17" s="347" t="s">
        <v>1010</v>
      </c>
      <c r="CA17" s="347" t="s">
        <v>1011</v>
      </c>
      <c r="CB17" s="347" t="s">
        <v>1010</v>
      </c>
      <c r="CC17" s="347" t="s">
        <v>1011</v>
      </c>
      <c r="CD17" s="347" t="s">
        <v>1010</v>
      </c>
      <c r="CE17" s="347" t="s">
        <v>1011</v>
      </c>
      <c r="CF17" s="347" t="s">
        <v>1010</v>
      </c>
      <c r="CG17" s="347" t="s">
        <v>1011</v>
      </c>
      <c r="CH17" s="347" t="s">
        <v>1010</v>
      </c>
      <c r="CI17" s="347" t="s">
        <v>1011</v>
      </c>
      <c r="CJ17" s="347" t="s">
        <v>1010</v>
      </c>
      <c r="CK17" s="347" t="s">
        <v>1011</v>
      </c>
      <c r="CL17" s="903"/>
      <c r="CM17" s="898"/>
      <c r="CN17" s="898"/>
      <c r="CO17" s="898"/>
      <c r="CP17" s="898"/>
      <c r="CQ17" s="898"/>
      <c r="CR17" s="898"/>
      <c r="CS17" s="898"/>
      <c r="CT17" s="898"/>
      <c r="CU17" s="898"/>
      <c r="CV17" s="898"/>
      <c r="CW17" s="898"/>
      <c r="CX17" s="899"/>
      <c r="CY17" s="347" t="s">
        <v>1010</v>
      </c>
      <c r="CZ17" s="347" t="s">
        <v>1011</v>
      </c>
      <c r="DA17" s="347" t="s">
        <v>1010</v>
      </c>
      <c r="DB17" s="347" t="s">
        <v>1011</v>
      </c>
      <c r="DC17" s="347" t="s">
        <v>1010</v>
      </c>
      <c r="DD17" s="347" t="s">
        <v>1011</v>
      </c>
      <c r="DE17" s="347" t="s">
        <v>1010</v>
      </c>
      <c r="DF17" s="347" t="s">
        <v>1011</v>
      </c>
      <c r="DG17" s="347" t="s">
        <v>1010</v>
      </c>
      <c r="DH17" s="347" t="s">
        <v>1011</v>
      </c>
      <c r="DI17" s="347" t="s">
        <v>1010</v>
      </c>
      <c r="DJ17" s="347" t="s">
        <v>1011</v>
      </c>
      <c r="DK17" s="903"/>
      <c r="DL17" s="898"/>
      <c r="DM17" s="898"/>
      <c r="DN17" s="898"/>
      <c r="DO17" s="898"/>
      <c r="DP17" s="898"/>
      <c r="DQ17" s="898"/>
      <c r="DR17" s="898"/>
      <c r="DS17" s="898"/>
      <c r="DT17" s="898"/>
      <c r="DU17" s="898"/>
      <c r="DV17" s="898"/>
      <c r="DW17" s="898"/>
      <c r="DX17" s="898"/>
      <c r="DY17" s="898"/>
      <c r="DZ17" s="898"/>
      <c r="EA17" s="898"/>
      <c r="EB17" s="898"/>
      <c r="EC17" s="898"/>
      <c r="ED17" s="898"/>
      <c r="EE17" s="898"/>
      <c r="EF17" s="898"/>
      <c r="EG17" s="898"/>
      <c r="EH17" s="898"/>
      <c r="EI17" s="898"/>
      <c r="EJ17" s="898"/>
      <c r="EK17" s="898"/>
      <c r="EL17" s="898"/>
      <c r="EM17" s="898"/>
      <c r="EN17" s="898"/>
      <c r="EO17" s="898"/>
      <c r="EP17" s="898"/>
      <c r="EQ17" s="898"/>
      <c r="ER17" s="898"/>
      <c r="ES17" s="898"/>
      <c r="ET17" s="898"/>
      <c r="EU17" s="898"/>
      <c r="EV17" s="898"/>
      <c r="EW17" s="898"/>
      <c r="EX17" s="898"/>
      <c r="EY17" s="898"/>
      <c r="EZ17" s="898"/>
      <c r="FA17" s="898"/>
      <c r="FB17" s="898"/>
      <c r="FC17" s="898"/>
      <c r="FD17" s="898"/>
      <c r="FE17" s="898"/>
      <c r="FF17" s="898"/>
      <c r="FG17" s="898"/>
      <c r="FH17" s="898"/>
      <c r="FI17" s="898"/>
      <c r="FJ17" s="898"/>
      <c r="FK17" s="898"/>
      <c r="FL17" s="898"/>
      <c r="FM17" s="898"/>
      <c r="FN17" s="898"/>
      <c r="FO17" s="898"/>
      <c r="FP17" s="898"/>
      <c r="FQ17" s="898"/>
      <c r="FR17" s="898"/>
      <c r="FS17" s="898"/>
      <c r="FT17" s="898"/>
      <c r="FU17" s="898"/>
      <c r="FV17" s="898"/>
      <c r="FW17" s="904"/>
      <c r="FX17" s="60"/>
    </row>
    <row r="18" s="872" customFormat="1" ht="12" hidden="1" customHeight="1">
      <c r="B18" s="873"/>
      <c r="E18" s="905"/>
      <c r="F18" s="906"/>
      <c r="G18" s="906"/>
      <c r="H18" s="906"/>
      <c r="I18" s="906"/>
      <c r="J18" s="907"/>
      <c r="K18" s="907"/>
      <c r="L18" s="907"/>
      <c r="M18" s="907"/>
      <c r="N18" s="907"/>
      <c r="O18" s="906"/>
      <c r="P18" s="906"/>
      <c r="Q18" s="906"/>
      <c r="R18" s="906"/>
      <c r="S18" s="906"/>
      <c r="T18" s="906"/>
      <c r="U18" s="908"/>
      <c r="V18" s="908"/>
      <c r="W18" s="908"/>
      <c r="X18" s="908"/>
      <c r="Y18" s="908"/>
      <c r="Z18" s="908"/>
      <c r="AA18" s="908"/>
      <c r="AB18" s="906"/>
      <c r="AC18" s="907"/>
      <c r="AD18" s="907"/>
      <c r="AE18" s="907"/>
      <c r="AF18" s="907"/>
      <c r="AG18" s="907"/>
      <c r="AH18" s="907"/>
      <c r="AI18" s="907"/>
      <c r="AJ18" s="907"/>
      <c r="AK18" s="907"/>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907"/>
      <c r="BH18" s="907"/>
      <c r="BI18" s="907"/>
      <c r="BJ18" s="907"/>
      <c r="BK18" s="907"/>
      <c r="BL18" s="907"/>
      <c r="BM18" s="907"/>
      <c r="BN18" s="907"/>
      <c r="BO18" s="907"/>
      <c r="BP18" s="907"/>
      <c r="BQ18" s="907"/>
      <c r="BR18" s="907"/>
      <c r="BS18" s="907"/>
      <c r="BT18" s="909"/>
      <c r="BU18" s="909"/>
      <c r="BV18" s="909"/>
      <c r="BW18" s="909"/>
      <c r="BX18" s="909"/>
      <c r="BY18" s="909"/>
      <c r="BZ18" s="909"/>
      <c r="CA18" s="909"/>
      <c r="CB18" s="909"/>
      <c r="CC18" s="909"/>
      <c r="CD18" s="909"/>
      <c r="CE18" s="909"/>
      <c r="CF18" s="909"/>
      <c r="CG18" s="909"/>
      <c r="CH18" s="909"/>
      <c r="CI18" s="909"/>
      <c r="CJ18" s="909"/>
      <c r="CK18" s="909"/>
      <c r="CL18" s="907"/>
      <c r="CM18" s="907"/>
      <c r="CN18" s="907"/>
      <c r="CO18" s="907"/>
      <c r="CP18" s="907"/>
      <c r="CQ18" s="907"/>
      <c r="CR18" s="907"/>
      <c r="CS18" s="907"/>
      <c r="CT18" s="907"/>
      <c r="CU18" s="907"/>
      <c r="CV18" s="907"/>
      <c r="CW18" s="907"/>
      <c r="CX18" s="907"/>
      <c r="CY18" s="909"/>
      <c r="CZ18" s="909"/>
      <c r="DA18" s="909"/>
      <c r="DB18" s="909"/>
      <c r="DC18" s="909"/>
      <c r="DD18" s="909"/>
      <c r="DE18" s="909"/>
      <c r="DF18" s="909"/>
      <c r="DG18" s="909"/>
      <c r="DH18" s="909"/>
      <c r="DI18" s="909"/>
      <c r="DJ18" s="909"/>
      <c r="DK18" s="907"/>
      <c r="DL18" s="907"/>
      <c r="DM18" s="907"/>
      <c r="DN18" s="907"/>
      <c r="DO18" s="907"/>
      <c r="DP18" s="907"/>
      <c r="DQ18" s="907"/>
      <c r="DR18" s="907"/>
      <c r="DS18" s="907"/>
      <c r="DT18" s="907"/>
      <c r="DU18" s="907"/>
      <c r="DV18" s="907"/>
      <c r="DW18" s="907"/>
      <c r="DX18" s="907"/>
      <c r="DY18" s="907"/>
      <c r="DZ18" s="907"/>
      <c r="EA18" s="907"/>
      <c r="EB18" s="907"/>
      <c r="EC18" s="907"/>
      <c r="ED18" s="907"/>
      <c r="EE18" s="907"/>
      <c r="EF18" s="907"/>
      <c r="EG18" s="907"/>
      <c r="EH18" s="907"/>
      <c r="EI18" s="907"/>
      <c r="EJ18" s="907"/>
      <c r="EK18" s="907"/>
      <c r="EL18" s="907"/>
      <c r="EM18" s="907"/>
      <c r="EN18" s="907"/>
      <c r="EO18" s="907"/>
      <c r="EP18" s="907"/>
      <c r="EQ18" s="907"/>
      <c r="ER18" s="907"/>
      <c r="ES18" s="907"/>
      <c r="ET18" s="907"/>
      <c r="EU18" s="907"/>
      <c r="EV18" s="907"/>
      <c r="EW18" s="907"/>
      <c r="EX18" s="907"/>
      <c r="EY18" s="907"/>
      <c r="EZ18" s="907"/>
      <c r="FA18" s="907"/>
      <c r="FB18" s="907"/>
      <c r="FC18" s="907"/>
      <c r="FD18" s="907"/>
      <c r="FE18" s="907"/>
      <c r="FF18" s="907"/>
      <c r="FG18" s="907"/>
      <c r="FH18" s="907"/>
      <c r="FI18" s="907"/>
      <c r="FJ18" s="907"/>
      <c r="FK18" s="907"/>
      <c r="FL18" s="907"/>
      <c r="FM18" s="907"/>
      <c r="FN18" s="907"/>
      <c r="FO18" s="907"/>
      <c r="FP18" s="907"/>
      <c r="FQ18" s="907"/>
      <c r="FR18" s="907"/>
      <c r="FS18" s="907"/>
      <c r="FT18" s="907"/>
      <c r="FU18" s="907"/>
      <c r="FV18" s="907"/>
      <c r="FW18" s="906"/>
      <c r="FX18" s="910"/>
    </row>
    <row r="19" s="872" customFormat="1" ht="11.25" hidden="1" customHeight="1">
      <c r="B19" s="873"/>
      <c r="E19" s="905"/>
      <c r="F19" s="906"/>
      <c r="G19" s="906"/>
      <c r="H19" s="906"/>
      <c r="I19" s="906"/>
      <c r="J19" s="906"/>
      <c r="K19" s="906"/>
      <c r="L19" s="906"/>
      <c r="M19" s="906"/>
      <c r="N19" s="906"/>
      <c r="O19" s="906"/>
      <c r="P19" s="906"/>
      <c r="Q19" s="906"/>
      <c r="R19" s="906"/>
      <c r="S19" s="906"/>
      <c r="T19" s="906"/>
      <c r="U19" s="908"/>
      <c r="V19" s="908"/>
      <c r="W19" s="908"/>
      <c r="X19" s="908"/>
      <c r="Y19" s="908"/>
      <c r="Z19" s="908"/>
      <c r="AA19" s="908"/>
      <c r="AB19" s="906"/>
      <c r="AC19" s="906"/>
      <c r="AD19" s="906"/>
      <c r="AE19" s="906"/>
      <c r="AF19" s="906"/>
      <c r="AG19" s="906"/>
      <c r="AH19" s="906"/>
      <c r="AI19" s="906"/>
      <c r="AJ19" s="906"/>
      <c r="AK19" s="906"/>
      <c r="AL19" s="906"/>
      <c r="AM19" s="906"/>
      <c r="AN19" s="906"/>
      <c r="AO19" s="906"/>
      <c r="AP19" s="906"/>
      <c r="AQ19" s="906"/>
      <c r="AR19" s="906"/>
      <c r="AS19" s="906"/>
      <c r="AT19" s="906"/>
      <c r="AU19" s="906"/>
      <c r="AV19" s="906"/>
      <c r="AW19" s="906"/>
      <c r="AX19" s="906"/>
      <c r="AY19" s="906"/>
      <c r="AZ19" s="906"/>
      <c r="BA19" s="906"/>
      <c r="BB19" s="906"/>
      <c r="BC19" s="906"/>
      <c r="BD19" s="906"/>
      <c r="BE19" s="906"/>
      <c r="BF19" s="906"/>
      <c r="BG19" s="906"/>
      <c r="BH19" s="906"/>
      <c r="BI19" s="906"/>
      <c r="BJ19" s="906"/>
      <c r="BK19" s="906"/>
      <c r="BL19" s="906"/>
      <c r="BM19" s="906"/>
      <c r="BN19" s="906"/>
      <c r="BO19" s="906"/>
      <c r="BP19" s="906"/>
      <c r="BQ19" s="906"/>
      <c r="BR19" s="906"/>
      <c r="BS19" s="906"/>
      <c r="BT19" s="906"/>
      <c r="BU19" s="906"/>
      <c r="BV19" s="906"/>
      <c r="BW19" s="906"/>
      <c r="BX19" s="906"/>
      <c r="BY19" s="906"/>
      <c r="BZ19" s="906"/>
      <c r="CA19" s="906"/>
      <c r="CB19" s="906"/>
      <c r="CC19" s="906"/>
      <c r="CD19" s="906"/>
      <c r="CE19" s="906"/>
      <c r="CF19" s="906"/>
      <c r="CG19" s="906"/>
      <c r="CH19" s="906"/>
      <c r="CI19" s="906"/>
      <c r="CJ19" s="906"/>
      <c r="CK19" s="906"/>
      <c r="CL19" s="906"/>
      <c r="CM19" s="906"/>
      <c r="CN19" s="906"/>
      <c r="CO19" s="906"/>
      <c r="CP19" s="906"/>
      <c r="CQ19" s="906"/>
      <c r="CR19" s="906"/>
      <c r="CS19" s="906"/>
      <c r="CT19" s="906"/>
      <c r="CU19" s="906"/>
      <c r="CV19" s="906"/>
      <c r="CW19" s="906"/>
      <c r="CX19" s="906"/>
      <c r="CY19" s="906"/>
      <c r="CZ19" s="906"/>
      <c r="DA19" s="906"/>
      <c r="DB19" s="906"/>
      <c r="DC19" s="906"/>
      <c r="DD19" s="906"/>
      <c r="DE19" s="906"/>
      <c r="DF19" s="906"/>
      <c r="DG19" s="906"/>
      <c r="DH19" s="906"/>
      <c r="DI19" s="906"/>
      <c r="DJ19" s="906"/>
      <c r="DK19" s="906"/>
      <c r="DL19" s="906"/>
      <c r="DM19" s="906"/>
      <c r="DN19" s="906"/>
      <c r="DO19" s="906"/>
      <c r="DP19" s="906"/>
      <c r="DQ19" s="906"/>
      <c r="DR19" s="906"/>
      <c r="DS19" s="906"/>
      <c r="DT19" s="906"/>
      <c r="DU19" s="906"/>
      <c r="DV19" s="906"/>
      <c r="DW19" s="906"/>
      <c r="DX19" s="906"/>
      <c r="DY19" s="906"/>
      <c r="DZ19" s="906"/>
      <c r="EA19" s="906"/>
      <c r="EB19" s="906"/>
      <c r="EC19" s="906"/>
      <c r="ED19" s="906"/>
      <c r="EE19" s="906"/>
      <c r="EF19" s="906"/>
      <c r="EG19" s="906"/>
      <c r="EH19" s="906"/>
      <c r="EI19" s="906"/>
      <c r="EJ19" s="906"/>
      <c r="EK19" s="906"/>
      <c r="EL19" s="906"/>
      <c r="EM19" s="906"/>
      <c r="EN19" s="906"/>
      <c r="EO19" s="906"/>
      <c r="EP19" s="906"/>
      <c r="EQ19" s="906"/>
      <c r="ER19" s="906"/>
      <c r="ES19" s="906"/>
      <c r="ET19" s="906"/>
      <c r="EU19" s="906"/>
      <c r="EV19" s="906"/>
      <c r="EW19" s="906"/>
      <c r="EX19" s="906"/>
      <c r="EY19" s="906"/>
      <c r="EZ19" s="906"/>
      <c r="FA19" s="906"/>
      <c r="FB19" s="906"/>
      <c r="FC19" s="906"/>
      <c r="FD19" s="906"/>
      <c r="FE19" s="906"/>
      <c r="FF19" s="906"/>
      <c r="FG19" s="906"/>
      <c r="FH19" s="906"/>
      <c r="FI19" s="906"/>
      <c r="FJ19" s="906"/>
      <c r="FK19" s="906"/>
      <c r="FL19" s="906"/>
      <c r="FM19" s="906"/>
      <c r="FN19" s="906"/>
      <c r="FO19" s="906"/>
      <c r="FP19" s="906"/>
      <c r="FQ19" s="906"/>
      <c r="FR19" s="906"/>
      <c r="FS19" s="906"/>
      <c r="FT19" s="906"/>
      <c r="FU19" s="906"/>
      <c r="FV19" s="906"/>
      <c r="FW19" s="906"/>
      <c r="FX19" s="910"/>
    </row>
    <row r="20" s="872" customFormat="1" ht="11.25" hidden="1" customHeight="1">
      <c r="B20" s="873"/>
      <c r="D20" s="872"/>
      <c r="E20" s="905"/>
      <c r="F20" s="911" t="s">
        <v>366</v>
      </c>
      <c r="G20" s="327"/>
      <c r="H20" s="912"/>
      <c r="I20" s="912"/>
      <c r="J20" s="912"/>
      <c r="K20" s="912"/>
      <c r="L20" s="912"/>
      <c r="M20" s="912"/>
      <c r="N20" s="912"/>
      <c r="O20" s="327"/>
      <c r="P20" s="327"/>
      <c r="Q20" s="327"/>
      <c r="R20" s="327"/>
      <c r="S20" s="327"/>
      <c r="T20" s="327"/>
      <c r="U20" s="913"/>
      <c r="V20" s="913"/>
      <c r="W20" s="913"/>
      <c r="X20" s="913"/>
      <c r="Y20" s="913"/>
      <c r="Z20" s="913"/>
      <c r="AA20" s="913"/>
      <c r="AB20" s="327"/>
      <c r="AC20" s="912"/>
      <c r="AD20" s="912"/>
      <c r="AE20" s="912"/>
      <c r="AF20" s="912"/>
      <c r="AG20" s="912"/>
      <c r="AH20" s="912"/>
      <c r="AI20" s="912"/>
      <c r="AJ20" s="912"/>
      <c r="AK20" s="912"/>
      <c r="AL20" s="912"/>
      <c r="AM20" s="912"/>
      <c r="AN20" s="912"/>
      <c r="AO20" s="912"/>
      <c r="AP20" s="912"/>
      <c r="AQ20" s="912"/>
      <c r="AR20" s="912"/>
      <c r="AS20" s="912"/>
      <c r="AT20" s="912"/>
      <c r="AU20" s="912"/>
      <c r="AV20" s="912"/>
      <c r="AW20" s="912"/>
      <c r="AX20" s="912"/>
      <c r="AY20" s="912"/>
      <c r="AZ20" s="912"/>
      <c r="BA20" s="912"/>
      <c r="BB20" s="912"/>
      <c r="BC20" s="912"/>
      <c r="BD20" s="912"/>
      <c r="BE20" s="912"/>
      <c r="BF20" s="912"/>
      <c r="BG20" s="912"/>
      <c r="BH20" s="912"/>
      <c r="BI20" s="912"/>
      <c r="BJ20" s="912"/>
      <c r="BK20" s="912"/>
      <c r="BL20" s="912"/>
      <c r="BM20" s="912"/>
      <c r="BN20" s="912"/>
      <c r="BO20" s="912"/>
      <c r="BP20" s="912"/>
      <c r="BQ20" s="912"/>
      <c r="BR20" s="912"/>
      <c r="BS20" s="912"/>
      <c r="BT20" s="912"/>
      <c r="BU20" s="912"/>
      <c r="BV20" s="912"/>
      <c r="BW20" s="912"/>
      <c r="BX20" s="912"/>
      <c r="BY20" s="912"/>
      <c r="BZ20" s="912"/>
      <c r="CA20" s="912"/>
      <c r="CB20" s="912"/>
      <c r="CC20" s="912"/>
      <c r="CD20" s="912"/>
      <c r="CE20" s="912"/>
      <c r="CF20" s="912"/>
      <c r="CG20" s="912"/>
      <c r="CH20" s="912"/>
      <c r="CI20" s="912"/>
      <c r="CJ20" s="912"/>
      <c r="CK20" s="912"/>
      <c r="CL20" s="914"/>
      <c r="CM20" s="914"/>
      <c r="CN20" s="914"/>
      <c r="CO20" s="914"/>
      <c r="CP20" s="914"/>
      <c r="CQ20" s="914"/>
      <c r="CR20" s="914"/>
      <c r="CS20" s="914"/>
      <c r="CT20" s="914"/>
      <c r="CU20" s="914"/>
      <c r="CV20" s="914"/>
      <c r="CW20" s="914"/>
      <c r="CX20" s="914"/>
      <c r="CY20" s="914"/>
      <c r="CZ20" s="914"/>
      <c r="DA20" s="914"/>
      <c r="DB20" s="914"/>
      <c r="DC20" s="914"/>
      <c r="DD20" s="914"/>
      <c r="DE20" s="914"/>
      <c r="DF20" s="914"/>
      <c r="DG20" s="914"/>
      <c r="DH20" s="914"/>
      <c r="DI20" s="914"/>
      <c r="DJ20" s="914"/>
      <c r="DK20" s="914"/>
      <c r="DL20" s="914"/>
      <c r="DM20" s="914"/>
      <c r="DN20" s="914"/>
      <c r="DO20" s="914"/>
      <c r="DP20" s="914"/>
      <c r="DQ20" s="914"/>
      <c r="DR20" s="914"/>
      <c r="DS20" s="914"/>
      <c r="DT20" s="914"/>
      <c r="DU20" s="914"/>
      <c r="DV20" s="914"/>
      <c r="DW20" s="914"/>
      <c r="DX20" s="914"/>
      <c r="DY20" s="914"/>
      <c r="DZ20" s="914"/>
      <c r="EA20" s="914"/>
      <c r="EB20" s="914"/>
      <c r="EC20" s="914"/>
      <c r="ED20" s="914"/>
      <c r="EE20" s="914"/>
      <c r="EF20" s="914"/>
      <c r="EG20" s="914"/>
      <c r="EH20" s="914"/>
      <c r="EI20" s="914"/>
      <c r="EJ20" s="914"/>
      <c r="EK20" s="914"/>
      <c r="EL20" s="914"/>
      <c r="EM20" s="914"/>
      <c r="EN20" s="914"/>
      <c r="EO20" s="914"/>
      <c r="EP20" s="914"/>
      <c r="EQ20" s="914"/>
      <c r="ER20" s="914"/>
      <c r="ES20" s="914"/>
      <c r="ET20" s="914"/>
      <c r="EU20" s="914"/>
      <c r="EV20" s="914"/>
      <c r="EW20" s="914"/>
      <c r="EX20" s="914"/>
      <c r="EY20" s="914"/>
      <c r="EZ20" s="914"/>
      <c r="FA20" s="914"/>
      <c r="FB20" s="914"/>
      <c r="FC20" s="914"/>
      <c r="FD20" s="914"/>
      <c r="FE20" s="914"/>
      <c r="FF20" s="914"/>
      <c r="FG20" s="914"/>
      <c r="FH20" s="914"/>
      <c r="FI20" s="914"/>
      <c r="FJ20" s="914"/>
      <c r="FK20" s="914"/>
      <c r="FL20" s="914"/>
      <c r="FM20" s="914"/>
      <c r="FN20" s="914"/>
      <c r="FO20" s="914"/>
      <c r="FP20" s="914"/>
      <c r="FQ20" s="914"/>
      <c r="FR20" s="914"/>
      <c r="FS20" s="914"/>
      <c r="FT20" s="914"/>
      <c r="FU20" s="914"/>
      <c r="FV20" s="914"/>
      <c r="FW20" s="914"/>
      <c r="FX20" s="910"/>
    </row>
    <row r="21" s="872" customFormat="1" ht="12" customHeight="1">
      <c r="A21" s="874"/>
      <c r="B21" s="874"/>
      <c r="C21" s="874"/>
      <c r="D21" s="874"/>
      <c r="E21" s="874"/>
      <c r="F21" s="905"/>
      <c r="G21" s="905"/>
      <c r="H21" s="905"/>
      <c r="I21" s="905"/>
      <c r="J21" s="905"/>
      <c r="K21" s="905"/>
      <c r="L21" s="905"/>
      <c r="M21" s="905"/>
      <c r="N21" s="905"/>
      <c r="O21" s="905"/>
      <c r="P21" s="905"/>
      <c r="Q21" s="905"/>
      <c r="R21" s="905"/>
      <c r="S21" s="915"/>
      <c r="T21" s="91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5"/>
      <c r="AY21" s="905"/>
      <c r="AZ21" s="905"/>
      <c r="BA21" s="905"/>
      <c r="BB21" s="905"/>
      <c r="BC21" s="905"/>
      <c r="BD21" s="905"/>
      <c r="BE21" s="905"/>
      <c r="BF21" s="905"/>
      <c r="BG21" s="905"/>
      <c r="BH21" s="905"/>
      <c r="BI21" s="905"/>
      <c r="BJ21" s="905"/>
      <c r="BK21" s="905"/>
      <c r="BL21" s="905"/>
      <c r="BM21" s="905"/>
      <c r="BN21" s="905"/>
      <c r="BO21" s="905"/>
      <c r="BP21" s="905"/>
      <c r="BQ21" s="905"/>
      <c r="BR21" s="905"/>
      <c r="BS21" s="905"/>
      <c r="BT21" s="905"/>
      <c r="BU21" s="905"/>
      <c r="BV21" s="905"/>
      <c r="BW21" s="905"/>
      <c r="BX21" s="905"/>
      <c r="BY21" s="905"/>
      <c r="BZ21" s="905"/>
      <c r="CA21" s="905"/>
      <c r="CB21" s="905"/>
      <c r="CC21" s="905"/>
      <c r="CD21" s="905"/>
      <c r="CE21" s="905"/>
      <c r="CF21" s="905"/>
      <c r="CG21" s="905"/>
      <c r="CH21" s="905"/>
      <c r="CI21" s="905"/>
      <c r="CJ21" s="905"/>
      <c r="CK21" s="905"/>
      <c r="CL21" s="905"/>
      <c r="CM21" s="905"/>
      <c r="CN21" s="905"/>
      <c r="CO21" s="905"/>
      <c r="CP21" s="905"/>
      <c r="CQ21" s="905"/>
      <c r="CR21" s="905"/>
      <c r="CS21" s="905"/>
      <c r="CT21" s="905"/>
      <c r="CU21" s="905"/>
      <c r="CV21" s="905"/>
      <c r="CW21" s="905"/>
      <c r="CX21" s="905"/>
      <c r="CY21" s="905"/>
      <c r="CZ21" s="905"/>
      <c r="DA21" s="905"/>
      <c r="DB21" s="905"/>
      <c r="DC21" s="905"/>
      <c r="DD21" s="905"/>
      <c r="DE21" s="905"/>
      <c r="DF21" s="905"/>
      <c r="DG21" s="905"/>
      <c r="DH21" s="905"/>
      <c r="DI21" s="905"/>
      <c r="DJ21" s="905"/>
      <c r="DK21" s="905"/>
      <c r="DL21" s="905"/>
      <c r="DM21" s="905"/>
      <c r="DN21" s="905"/>
      <c r="DO21" s="905"/>
      <c r="DP21" s="905"/>
      <c r="DQ21" s="905"/>
      <c r="DR21" s="905"/>
      <c r="DS21" s="905"/>
      <c r="DT21" s="905"/>
      <c r="DU21" s="905"/>
      <c r="DV21" s="905"/>
      <c r="DW21" s="905"/>
      <c r="DX21" s="905"/>
      <c r="DY21" s="905"/>
      <c r="DZ21" s="905"/>
      <c r="EA21" s="905"/>
      <c r="EB21" s="905"/>
      <c r="EC21" s="905"/>
      <c r="ED21" s="905"/>
      <c r="EE21" s="905"/>
      <c r="EF21" s="905"/>
      <c r="EG21" s="905"/>
      <c r="EH21" s="905"/>
      <c r="EI21" s="905"/>
      <c r="EJ21" s="905"/>
      <c r="EK21" s="905"/>
      <c r="EL21" s="905"/>
      <c r="EM21" s="905"/>
      <c r="EN21" s="905"/>
      <c r="EO21" s="905"/>
      <c r="EP21" s="905"/>
      <c r="EQ21" s="905"/>
      <c r="ER21" s="905"/>
      <c r="ES21" s="905"/>
      <c r="ET21" s="905"/>
      <c r="EU21" s="905"/>
      <c r="EV21" s="905"/>
      <c r="EW21" s="905"/>
      <c r="EX21" s="905"/>
      <c r="EY21" s="905"/>
      <c r="EZ21" s="905"/>
      <c r="FA21" s="905"/>
      <c r="FB21" s="905"/>
      <c r="FC21" s="905"/>
      <c r="FD21" s="905"/>
      <c r="FE21" s="905"/>
      <c r="FF21" s="905"/>
      <c r="FG21" s="905"/>
      <c r="FH21" s="905"/>
      <c r="FI21" s="905"/>
      <c r="FJ21" s="905"/>
      <c r="FK21" s="905"/>
      <c r="FL21" s="905"/>
      <c r="FM21" s="905"/>
      <c r="FN21" s="905"/>
      <c r="FO21" s="905"/>
      <c r="FP21" s="905"/>
      <c r="FQ21" s="905"/>
      <c r="FR21" s="905"/>
      <c r="FS21" s="905"/>
      <c r="FT21" s="905"/>
      <c r="FU21" s="905"/>
      <c r="FV21" s="905"/>
      <c r="FW21" s="905"/>
      <c r="FX21" s="874"/>
      <c r="FY21" s="874"/>
      <c r="FZ21" s="874"/>
      <c r="GA21" s="874"/>
      <c r="GB21" s="874"/>
    </row>
    <row r="22" s="872" customFormat="1" ht="12" customHeight="1">
      <c r="A22" s="874"/>
      <c r="B22" s="874"/>
      <c r="C22" s="874"/>
      <c r="D22" s="874"/>
      <c r="E22" s="874"/>
      <c r="FX22" s="874"/>
      <c r="FY22" s="874"/>
      <c r="FZ22" s="874"/>
      <c r="GA22" s="874"/>
      <c r="GB22" s="874"/>
    </row>
    <row r="23" s="870" customFormat="1" ht="12" customHeight="1">
      <c r="A23" s="874"/>
      <c r="B23" s="874"/>
      <c r="C23" s="874"/>
      <c r="D23" s="874"/>
      <c r="E23" s="874"/>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916"/>
      <c r="BU23" s="916"/>
      <c r="BV23" s="916"/>
      <c r="BW23" s="916"/>
      <c r="BX23" s="916"/>
      <c r="BY23" s="916"/>
      <c r="BZ23" s="916"/>
      <c r="CA23" s="916"/>
      <c r="CB23" s="916"/>
      <c r="CC23" s="916"/>
      <c r="CD23" s="916"/>
      <c r="CE23" s="916"/>
      <c r="CF23" s="916"/>
      <c r="CG23" s="916"/>
      <c r="CH23" s="916"/>
      <c r="CI23" s="916"/>
      <c r="CJ23" s="916"/>
      <c r="CK23" s="916"/>
      <c r="CL23" s="916"/>
      <c r="CM23" s="916"/>
      <c r="CN23" s="916"/>
      <c r="CO23" s="916"/>
      <c r="CP23" s="916"/>
      <c r="CQ23" s="916"/>
      <c r="CR23" s="916"/>
      <c r="CS23" s="916"/>
      <c r="CT23" s="916"/>
      <c r="CU23" s="916"/>
      <c r="CV23" s="916"/>
      <c r="CW23" s="916"/>
      <c r="CX23" s="916"/>
      <c r="CY23" s="916"/>
      <c r="CZ23" s="916"/>
      <c r="DA23" s="916"/>
      <c r="DB23" s="916"/>
      <c r="DC23" s="916"/>
      <c r="DD23" s="916"/>
      <c r="DE23" s="916"/>
      <c r="DF23" s="916"/>
      <c r="DG23" s="916"/>
      <c r="DH23" s="916"/>
      <c r="DI23" s="916"/>
      <c r="DJ23" s="916"/>
      <c r="DK23" s="916"/>
      <c r="DL23" s="916"/>
      <c r="DM23" s="916"/>
      <c r="DN23" s="916"/>
      <c r="DO23" s="916"/>
      <c r="DP23" s="916"/>
      <c r="DQ23" s="916"/>
      <c r="DR23" s="916"/>
      <c r="DS23" s="916"/>
      <c r="DT23" s="916"/>
      <c r="DU23" s="916"/>
      <c r="DV23" s="916"/>
      <c r="DW23" s="916"/>
      <c r="DX23" s="916"/>
      <c r="FX23" s="874"/>
      <c r="FY23" s="874"/>
      <c r="FZ23" s="874"/>
      <c r="GA23" s="874"/>
      <c r="GB23" s="874"/>
    </row>
    <row r="24" ht="12" customHeight="1">
      <c r="S24" s="874"/>
      <c r="T24" s="874"/>
      <c r="U24" s="874"/>
      <c r="V24" s="874"/>
      <c r="W24" s="874"/>
      <c r="X24" s="874"/>
      <c r="Y24" s="874"/>
      <c r="Z24" s="874"/>
      <c r="AA24" s="874"/>
      <c r="AB24" s="874"/>
      <c r="FX24" s="874"/>
      <c r="FY24" s="874"/>
      <c r="FZ24" s="874"/>
      <c r="GA24" s="874"/>
      <c r="GB24" s="874"/>
    </row>
  </sheetData>
  <sheetProtection autoFilter="0" deleteColumns="0" deleteRows="0" formatCells="1" formatColumns="0" formatRows="0" insertColumns="1" insertHyperlinks="1" insertRows="0" pivotTables="1" selectLockedCells="0" selectUnlockedCells="0" sheet="0" sort="0"/>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isablePrompts="0">
    <dataValidation sqref="AA14:AB16 U16:Z16" type="none" allowBlank="1"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topLeftCell="C4" zoomScale="90" workbookViewId="0">
      <selection activeCell="E22" activeCellId="0" sqref="E22"/>
    </sheetView>
  </sheetViews>
  <sheetFormatPr defaultColWidth="10.57421875" defaultRowHeight="15" customHeight="1"/>
  <cols>
    <col customWidth="1" hidden="1" min="1" max="1" style="56" width="9.140625"/>
    <col customWidth="1" hidden="1" min="2" max="2" style="50" width="9.140625"/>
    <col customWidth="1" min="3" max="3" style="148" width="4.7109375"/>
    <col customWidth="1" min="4" max="4" style="50" width="6.28125"/>
    <col customWidth="1" min="5" max="5" style="50" width="36.7109375"/>
    <col customWidth="1" min="6" max="6" style="50" width="9.57421875"/>
    <col customWidth="1" hidden="1" min="7" max="7" style="50" width="42.421875"/>
    <col customWidth="1" min="8" max="8" style="50" width="40.7109375"/>
    <col customWidth="1" min="9" max="9" style="53" width="93.421875"/>
    <col min="10" max="17" style="50" width="10.57421875"/>
    <col min="18" max="18" style="114" width="10.57421875"/>
  </cols>
  <sheetData>
    <row r="1" s="53" customFormat="1" ht="15" hidden="1" customHeight="1">
      <c r="C1" s="113"/>
      <c r="H1" s="53">
        <v>4</v>
      </c>
      <c r="R1" s="165"/>
    </row>
    <row r="2" ht="22.5" hidden="1" customHeight="1">
      <c r="D2" s="219"/>
      <c r="E2" s="447"/>
      <c r="F2" s="156" t="str">
        <f>IF(TEMPLATE_SPHERE="HEAT","Гкал/час","тыс. куб. м/сутки")</f>
        <v>Гкал/час</v>
      </c>
      <c r="G2" s="797"/>
      <c r="H2" s="797"/>
      <c r="I2" s="484"/>
    </row>
    <row r="3" s="53" customFormat="1" ht="15" hidden="1" customHeight="1">
      <c r="C3" s="113"/>
      <c r="R3" s="165"/>
    </row>
    <row r="4" ht="15" customHeight="1">
      <c r="C4" s="148"/>
      <c r="D4" s="50"/>
      <c r="E4" s="50"/>
      <c r="F4" s="50"/>
      <c r="G4" s="50"/>
      <c r="H4" s="50"/>
    </row>
    <row r="5" ht="37.5" customHeight="1">
      <c r="C5" s="148"/>
      <c r="D5" s="451" t="str">
        <f>TP_NAME_FORM</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451"/>
      <c r="F5" s="451"/>
      <c r="G5" s="451"/>
      <c r="H5" s="451"/>
      <c r="I5" s="53"/>
    </row>
    <row r="6" ht="15" customHeight="1">
      <c r="C6" s="148"/>
      <c r="D6" s="302" t="str">
        <f>IF(org=0,"Не определено",org)</f>
        <v xml:space="preserve">филиал ПАО "ОГК-2" - Адлерская ТЭС</v>
      </c>
      <c r="E6" s="302"/>
      <c r="F6" s="302"/>
      <c r="G6" s="302"/>
      <c r="H6" s="302"/>
      <c r="I6" s="53"/>
    </row>
    <row r="7" s="50" customFormat="1" ht="15" customHeight="1">
      <c r="A7" s="56"/>
      <c r="C7" s="148"/>
      <c r="D7" s="322"/>
      <c r="E7" s="322"/>
      <c r="F7" s="322"/>
      <c r="G7" s="322"/>
      <c r="H7" s="341"/>
      <c r="I7" s="53"/>
      <c r="R7" s="114"/>
    </row>
    <row r="8" ht="0.75" customHeight="1">
      <c r="C8" s="148"/>
      <c r="D8" s="50"/>
      <c r="E8" s="50"/>
      <c r="F8" s="50"/>
      <c r="G8" s="50"/>
      <c r="H8" s="53" t="s">
        <v>118</v>
      </c>
    </row>
    <row r="9" ht="15" customHeight="1">
      <c r="C9" s="148"/>
      <c r="D9" s="700"/>
      <c r="E9" s="701" t="s">
        <v>107</v>
      </c>
      <c r="F9" s="702"/>
      <c r="G9" s="834" t="str">
        <f>IF(G8="","",INDEX(DIFFERENTIATION_UNMERGE_VD,MATCH(G8,DIFFERENTIATION_ID_DIFF,0)))</f>
        <v/>
      </c>
      <c r="H9" s="834" t="str">
        <f>IF(H8="","",INDEX(DIFFERENTIATION_UNMERGE_VD,MATCH(H8,DIFFERENTIATION_ID_DIFF,0)))</f>
        <v xml:space="preserve">Сбыт. Тепловая энергия</v>
      </c>
      <c r="I9" s="156" t="s">
        <v>289</v>
      </c>
    </row>
    <row r="10" s="50" customFormat="1" ht="15" customHeight="1">
      <c r="A10" s="56"/>
      <c r="C10" s="148"/>
      <c r="D10" s="700"/>
      <c r="E10" s="701" t="s">
        <v>546</v>
      </c>
      <c r="F10" s="702"/>
      <c r="G10" s="834" t="str">
        <f>IF(G8="","",INDEX(DIFFERENTIATION_UNMERGE_AREA,MATCH(G8,DIFFERENTIATION_ID_DIFF,0)))</f>
        <v/>
      </c>
      <c r="H10" s="834" t="str">
        <f>IF(H8="","",INDEX(DIFFERENTIATION_UNMERGE_AREA,MATCH(H8,DIFFERENTIATION_ID_DIFF,0)))</f>
        <v xml:space="preserve">Территория 1</v>
      </c>
      <c r="I10" s="156"/>
      <c r="R10" s="114"/>
    </row>
    <row r="11" s="50" customFormat="1" ht="15" customHeight="1">
      <c r="A11" s="56"/>
      <c r="C11" s="148"/>
      <c r="D11" s="700"/>
      <c r="E11" s="701" t="s">
        <v>547</v>
      </c>
      <c r="F11" s="702"/>
      <c r="G11" s="834" t="str">
        <f>IF(G8="","",INDEX(DIFFERENTIATION_UNMERGE_SYSTEM,MATCH(G8,DIFFERENTIATION_ID_DIFF,0)))</f>
        <v/>
      </c>
      <c r="H11" s="834" t="str">
        <f>IF(H8="","",INDEX(DIFFERENTIATION_UNMERGE_SYSTEM,MATCH(H8,DIFFERENTIATION_ID_DIFF,0)))</f>
        <v xml:space="preserve">без дифференциации</v>
      </c>
      <c r="I11" s="156"/>
      <c r="R11" s="114"/>
    </row>
    <row r="12" s="50" customFormat="1" ht="15" customHeight="1">
      <c r="A12" s="56"/>
      <c r="C12" s="148"/>
      <c r="D12" s="704" t="s">
        <v>288</v>
      </c>
      <c r="E12" s="705"/>
      <c r="F12" s="705"/>
      <c r="G12" s="701"/>
      <c r="H12" s="701"/>
      <c r="I12" s="156"/>
      <c r="R12" s="114"/>
    </row>
    <row r="13" ht="33.75" customHeight="1">
      <c r="C13" s="148"/>
      <c r="D13" s="156" t="s">
        <v>85</v>
      </c>
      <c r="E13" s="156" t="s">
        <v>290</v>
      </c>
      <c r="F13" s="156" t="s">
        <v>548</v>
      </c>
      <c r="G13" s="73" t="s">
        <v>291</v>
      </c>
      <c r="H13" s="73" t="s">
        <v>291</v>
      </c>
      <c r="I13" s="156"/>
    </row>
    <row r="14" ht="15" hidden="1" customHeight="1">
      <c r="C14" s="148"/>
      <c r="D14" s="207" t="s">
        <v>111</v>
      </c>
      <c r="E14" s="207" t="s">
        <v>99</v>
      </c>
      <c r="F14" s="207" t="s">
        <v>87</v>
      </c>
      <c r="G14" s="148" t="str">
        <f>G1&amp;".1"</f>
        <v>.1</v>
      </c>
      <c r="H14" s="148" t="str">
        <f>H1&amp;".1"</f>
        <v>4.1</v>
      </c>
      <c r="I14" s="484"/>
    </row>
    <row r="15" ht="15" customHeight="1">
      <c r="A15" s="50"/>
      <c r="C15" s="127"/>
      <c r="D15" s="156">
        <v>1</v>
      </c>
      <c r="E15" s="312" t="str">
        <f>TP_P_A</f>
        <v xml:space="preserve">Количество поданных заявок</v>
      </c>
      <c r="F15" s="156" t="s">
        <v>1012</v>
      </c>
      <c r="G15" s="917"/>
      <c r="H15" s="917">
        <v>0</v>
      </c>
      <c r="I15" s="918" t="str">
        <f>TP_P_NOTE_A</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row>
    <row r="16" ht="15" customHeight="1">
      <c r="A16" s="50"/>
      <c r="C16" s="127"/>
      <c r="D16" s="156">
        <v>2</v>
      </c>
      <c r="E16" s="312" t="str">
        <f>TP_P_B</f>
        <v xml:space="preserve">Количество рассмотренных заявок</v>
      </c>
      <c r="F16" s="156" t="s">
        <v>1012</v>
      </c>
      <c r="G16" s="917"/>
      <c r="H16" s="917">
        <v>0</v>
      </c>
      <c r="I16" s="918" t="str">
        <f>TP_P_NOTE_B</f>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ht="33.75" customHeight="1">
      <c r="A17" s="50"/>
      <c r="C17" s="127"/>
      <c r="D17" s="156">
        <v>3</v>
      </c>
      <c r="E17" s="312" t="str">
        <f>TP_P_V</f>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6" t="s">
        <v>1012</v>
      </c>
      <c r="G17" s="917"/>
      <c r="H17" s="917">
        <v>0</v>
      </c>
      <c r="I17" s="918" t="str">
        <f>TP_P_NOTE_V</f>
        <v xml:space="preserve">Указывается количество заявок с решением об отказе в течение отчетного квартала.</v>
      </c>
    </row>
    <row r="18" ht="36" customHeight="1">
      <c r="A18" s="50"/>
      <c r="C18" s="127"/>
      <c r="D18" s="156">
        <v>4</v>
      </c>
      <c r="E18" s="312" t="str">
        <f>TP_P_V_1</f>
        <v xml:space="preserve">Причины отказа в заключении договора о подключении (технологическом присоединении) к системе теплоснабжения</v>
      </c>
      <c r="F18" s="156" t="s">
        <v>294</v>
      </c>
      <c r="G18" s="661"/>
      <c r="H18" s="661"/>
      <c r="I18" s="256" t="str">
        <f>TP_P_NOTE_V_1</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ht="57" customHeight="1">
      <c r="A19" s="50"/>
      <c r="C19" s="127"/>
      <c r="D19" s="156">
        <v>5</v>
      </c>
      <c r="E19" s="312" t="str">
        <f>TP_P_G</f>
        <v xml:space="preserve">Резерв мощности источников тепловой энергии, входящих в систему теплоснабжения, в течение одного квартала, в том числе:</v>
      </c>
      <c r="F19" s="156" t="str">
        <f>IF(TEMPLATE_SPHERE="HEAT","Гкал/час","тыс. куб. м/сутки")</f>
        <v>Гкал/час</v>
      </c>
      <c r="G19" s="919">
        <f>SUM(G20:G22)</f>
        <v>0</v>
      </c>
      <c r="H19" s="919">
        <f>SUM(H20:H22)</f>
        <v>0</v>
      </c>
      <c r="I19" s="918"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row>
    <row r="20" ht="15" hidden="1" customHeight="1">
      <c r="D20" s="50" t="s">
        <v>1013</v>
      </c>
      <c r="E20" s="322"/>
      <c r="F20" s="50"/>
      <c r="G20" s="50"/>
      <c r="H20" s="50"/>
      <c r="I20" s="920"/>
    </row>
    <row r="21" ht="27.75" customHeight="1">
      <c r="C21" s="127"/>
      <c r="D21" s="219" t="s">
        <v>303</v>
      </c>
      <c r="E21" s="921" t="s">
        <v>1014</v>
      </c>
      <c r="F21" s="156" t="str">
        <f>IF(TEMPLATE_SPHERE="HEAT","Гкал/час","тыс. куб. м/сутки")</f>
        <v>Гкал/час</v>
      </c>
      <c r="G21" s="797"/>
      <c r="H21" s="797"/>
      <c r="I21" s="28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row>
    <row r="22" ht="19.149999999999999" customHeight="1">
      <c r="A22" s="50"/>
      <c r="C22" s="50"/>
      <c r="D22" s="837"/>
      <c r="E22" s="174" t="s">
        <v>1015</v>
      </c>
      <c r="F22" s="720"/>
      <c r="G22" s="720"/>
      <c r="H22" s="720"/>
      <c r="I22" s="288"/>
      <c r="R22" s="50"/>
    </row>
  </sheetData>
  <sheetProtection autoFilter="0" deleteColumns="0" deleteRows="0" formatCells="1" formatColumns="0" formatRows="0" insertColumns="1" insertHyperlinks="1" insertRows="0" pivotTables="1" selectLockedCells="0" selectUnlockedCells="0" sheet="0" sort="0"/>
  <mergeCells count="8">
    <mergeCell ref="D5:H5"/>
    <mergeCell ref="D6:H6"/>
    <mergeCell ref="E9:F9"/>
    <mergeCell ref="I9:I13"/>
    <mergeCell ref="E10:F10"/>
    <mergeCell ref="E11:F11"/>
    <mergeCell ref="D12:F12"/>
    <mergeCell ref="I21:I2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07009E-00A0-47B3-9C7D-00D2006800CB}"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G15:H17</xm:sqref>
        </x14:dataValidation>
        <x14:dataValidation xr:uid="{00BD00F4-00D2-4E24-B7E6-00E400D10091}"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G21:H21 G2:H2</xm:sqref>
        </x14:dataValidation>
        <x14:dataValidation xr:uid="{005B0082-00FE-47E9-8932-00C5009600CB}" type="textLength" allowBlank="1" error="Допускается ввод не более 900 символов!" errorStyle="stop" errorTitle="Ошибка" imeMode="noControl" operator="lessThanOrEqual" showDropDown="0" showErrorMessage="1" showInputMessage="1">
          <x14:formula1>
            <xm:f>900</xm:f>
          </x14:formula1>
          <xm:sqref>E2 G18:H18</xm:sqref>
        </x14:dataValidation>
        <x14:dataValidation xr:uid="{00D40025-00AF-4153-9E75-004600F1008D}" type="textLength" allowBlank="1" error="Допускается ввод не более 900 символов!" errorStyle="stop" errorTitle="Ошибка" imeMode="noControl" operator="lessThanOrEqual" showDropDown="0" showErrorMessage="1" showInputMessage="1">
          <x14:formula1>
            <xm:f>900</xm:f>
          </x14:formula1>
          <xm:sqref>E21</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1"/>
  </sheetPr>
  <sheetViews>
    <sheetView showGridLines="0" topLeftCell="C4" zoomScale="90" workbookViewId="0">
      <selection activeCell="A1" activeCellId="0" sqref="A1"/>
    </sheetView>
  </sheetViews>
  <sheetFormatPr defaultColWidth="10.57421875" defaultRowHeight="14.25" customHeight="1"/>
  <cols>
    <col customWidth="1" hidden="1" min="1" max="1" style="60" width="9.140625"/>
    <col customWidth="1" hidden="1" min="2" max="2" style="53" width="9.140625"/>
    <col customWidth="1" min="3" max="3" style="477" width="3.7109375"/>
    <col customWidth="1" min="4" max="4" style="50" width="6.28125"/>
    <col customWidth="1" min="5" max="6" style="50" width="64.140625"/>
    <col customWidth="1" min="7" max="7" style="50" width="141.140625"/>
    <col min="8" max="8" style="50" width="10.57421875"/>
    <col min="9" max="10" style="128" width="10.57421875"/>
    <col min="11" max="16" style="50" width="10.57421875"/>
  </cols>
  <sheetData>
    <row r="1" ht="14.25" hidden="1" customHeight="1">
      <c r="M1" s="922"/>
      <c r="N1" s="922"/>
      <c r="P1" s="922"/>
    </row>
    <row r="2" ht="14.25" hidden="1" customHeight="1"/>
    <row r="3" ht="14.25" hidden="1" customHeight="1"/>
    <row r="4" ht="3" customHeight="1">
      <c r="C4" s="537"/>
      <c r="D4" s="89"/>
      <c r="E4" s="89"/>
      <c r="F4" s="923"/>
      <c r="G4" s="923"/>
    </row>
    <row r="5" ht="27.75" customHeight="1">
      <c r="C5" s="537"/>
      <c r="D5" s="237" t="str">
        <f>TERMS_NAME_FORM</f>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
      <c r="F5" s="238"/>
      <c r="G5" s="239"/>
    </row>
    <row r="6" s="50" customFormat="1" ht="18" customHeight="1">
      <c r="A6" s="60"/>
      <c r="B6" s="53"/>
      <c r="C6" s="537"/>
      <c r="D6" s="407" t="str">
        <f>IF(org=0,"Не определено",org)</f>
        <v xml:space="preserve">филиал ПАО "ОГК-2" - Адлерская ТЭС</v>
      </c>
      <c r="E6" s="408"/>
      <c r="F6" s="408"/>
      <c r="G6" s="409"/>
      <c r="I6" s="128"/>
      <c r="J6" s="128"/>
    </row>
    <row r="7" ht="14.25" customHeight="1">
      <c r="C7" s="537"/>
      <c r="D7" s="89"/>
      <c r="E7" s="83"/>
      <c r="F7" s="341"/>
      <c r="G7" s="924"/>
    </row>
    <row r="8" s="50" customFormat="1" ht="0.75" customHeight="1">
      <c r="A8" s="60"/>
      <c r="B8" s="53"/>
      <c r="C8" s="537"/>
      <c r="D8" s="89"/>
      <c r="E8" s="83"/>
      <c r="F8" s="341"/>
      <c r="G8" s="924"/>
      <c r="I8" s="128"/>
      <c r="J8" s="128"/>
    </row>
    <row r="9" ht="14.25" customHeight="1">
      <c r="C9" s="537"/>
      <c r="D9" s="347" t="s">
        <v>288</v>
      </c>
      <c r="E9" s="347"/>
      <c r="F9" s="347"/>
      <c r="G9" s="925" t="s">
        <v>289</v>
      </c>
    </row>
    <row r="10" ht="14.25" customHeight="1">
      <c r="C10" s="537"/>
      <c r="D10" s="347" t="s">
        <v>85</v>
      </c>
      <c r="E10" s="247" t="s">
        <v>290</v>
      </c>
      <c r="F10" s="247" t="s">
        <v>380</v>
      </c>
      <c r="G10" s="925"/>
    </row>
    <row r="11" ht="12" hidden="1" customHeight="1">
      <c r="C11" s="537"/>
      <c r="D11" s="424"/>
      <c r="E11" s="424"/>
      <c r="F11" s="424"/>
      <c r="G11" s="424"/>
    </row>
    <row r="12" ht="62.25" customHeight="1">
      <c r="A12" s="142"/>
      <c r="C12" s="537"/>
      <c r="D12" s="344">
        <v>1</v>
      </c>
      <c r="E12" s="926" t="str">
        <f>TERMS_P_1</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47" t="s">
        <v>294</v>
      </c>
      <c r="G12" s="484"/>
    </row>
    <row r="13" ht="22.5" customHeight="1">
      <c r="A13" s="142"/>
      <c r="C13" s="537"/>
      <c r="D13" s="344" t="s">
        <v>919</v>
      </c>
      <c r="E13" s="84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 xml:space="preserve">Форма публичного договора поставки товаров (оказания услуг), тарифы на которые подлежат регулированию</v>
      </c>
      <c r="F13" s="247" t="s">
        <v>294</v>
      </c>
      <c r="G13" s="484"/>
    </row>
    <row r="14" ht="14.25" customHeight="1">
      <c r="A14" s="142"/>
      <c r="C14" s="537"/>
      <c r="D14" s="344" t="s">
        <v>955</v>
      </c>
      <c r="E14" s="927"/>
      <c r="F14" s="469"/>
      <c r="G14" s="2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 xml:space="preserve">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ht="15" customHeight="1">
      <c r="A15" s="142"/>
      <c r="C15" s="537"/>
      <c r="D15" s="837"/>
      <c r="E15" s="236" t="s">
        <v>1016</v>
      </c>
      <c r="F15" s="928"/>
      <c r="G15" s="288"/>
    </row>
    <row r="16" ht="14.25" customHeight="1">
      <c r="A16" s="142"/>
      <c r="C16" s="537"/>
      <c r="D16" s="344" t="s">
        <v>921</v>
      </c>
      <c r="E16" s="843" t="str">
        <f>"Договор о подключении (технологическом присоединении) к"&amp;IF(TEMPLATE_SPHERE="HEAT",""," централизованной")&amp;" системе "&amp;TEMPLATE_SPHERE_RUS</f>
        <v xml:space="preserve">Договор о подключении (технологическом присоединении) к системе теплоснабжения</v>
      </c>
      <c r="F16" s="247" t="s">
        <v>294</v>
      </c>
      <c r="G16" s="547"/>
    </row>
    <row r="17" ht="14.25" customHeight="1">
      <c r="A17" s="142"/>
      <c r="C17" s="537"/>
      <c r="D17" s="344" t="s">
        <v>963</v>
      </c>
      <c r="E17" s="927"/>
      <c r="F17" s="827"/>
      <c r="G17" s="2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50" customFormat="1" ht="21" customHeight="1">
      <c r="A18" s="142"/>
      <c r="B18" s="53"/>
      <c r="C18" s="537"/>
      <c r="D18" s="837"/>
      <c r="E18" s="236" t="s">
        <v>1017</v>
      </c>
      <c r="F18" s="929"/>
      <c r="G18" s="288"/>
      <c r="I18" s="128"/>
      <c r="J18" s="128"/>
    </row>
    <row r="19" s="50" customFormat="1" ht="256.5" hidden="1" customHeight="1">
      <c r="A19" s="142"/>
      <c r="B19" s="53"/>
      <c r="C19" s="537"/>
      <c r="D19" s="344" t="s">
        <v>923</v>
      </c>
      <c r="E19" s="843" t="s">
        <v>1018</v>
      </c>
      <c r="F19" s="827"/>
      <c r="G19" s="547" t="s">
        <v>1019</v>
      </c>
      <c r="I19" s="128"/>
      <c r="J19" s="128"/>
    </row>
    <row r="20" s="50" customFormat="1" ht="14.25" customHeight="1">
      <c r="A20" s="142"/>
      <c r="B20" s="53"/>
      <c r="C20" s="537"/>
      <c r="D20" s="346">
        <v>2</v>
      </c>
      <c r="E20" s="843" t="s">
        <v>1020</v>
      </c>
      <c r="F20" s="247" t="s">
        <v>294</v>
      </c>
      <c r="G20" s="547"/>
      <c r="I20" s="128"/>
      <c r="J20" s="128"/>
    </row>
    <row r="21" s="50" customFormat="1" ht="18.75" hidden="1" customHeight="1">
      <c r="A21" s="142"/>
      <c r="B21" s="53"/>
      <c r="C21" s="537"/>
      <c r="D21" s="930" t="s">
        <v>848</v>
      </c>
      <c r="E21" s="931"/>
      <c r="F21" s="932"/>
      <c r="G21" s="933"/>
      <c r="H21" s="758"/>
      <c r="I21" s="128"/>
      <c r="J21" s="128"/>
    </row>
    <row r="22" ht="15" customHeight="1">
      <c r="A22" s="142"/>
      <c r="C22" s="537"/>
      <c r="D22" s="837"/>
      <c r="E22" s="174" t="s">
        <v>1021</v>
      </c>
      <c r="F22" s="929"/>
      <c r="G22" s="746"/>
    </row>
    <row r="23" s="50" customFormat="1" ht="22.5" hidden="1" customHeight="1">
      <c r="A23" s="142"/>
      <c r="B23" s="53"/>
      <c r="C23" s="537"/>
      <c r="D23" s="344" t="s">
        <v>99</v>
      </c>
      <c r="E23" s="926" t="s">
        <v>1022</v>
      </c>
      <c r="F23" s="247" t="s">
        <v>294</v>
      </c>
      <c r="G23" s="484"/>
      <c r="I23" s="128"/>
      <c r="J23" s="128"/>
    </row>
    <row r="24" s="50" customFormat="1" ht="14.25" hidden="1" customHeight="1">
      <c r="A24" s="142"/>
      <c r="B24" s="53"/>
      <c r="C24" s="537"/>
      <c r="D24" s="344" t="s">
        <v>604</v>
      </c>
      <c r="E24" s="843" t="s">
        <v>1023</v>
      </c>
      <c r="F24" s="247" t="s">
        <v>294</v>
      </c>
      <c r="G24" s="547"/>
      <c r="I24" s="128"/>
      <c r="J24" s="128"/>
    </row>
    <row r="25" s="50" customFormat="1" ht="14.25" hidden="1" customHeight="1">
      <c r="A25" s="142"/>
      <c r="B25" s="53"/>
      <c r="C25" s="537"/>
      <c r="D25" s="344" t="s">
        <v>607</v>
      </c>
      <c r="E25" s="927"/>
      <c r="F25" s="827"/>
      <c r="G25" s="284" t="s">
        <v>1024</v>
      </c>
      <c r="I25" s="128"/>
      <c r="J25" s="128"/>
    </row>
    <row r="26" s="50" customFormat="1" ht="22.5" hidden="1" customHeight="1">
      <c r="A26" s="142"/>
      <c r="B26" s="53"/>
      <c r="C26" s="537"/>
      <c r="D26" s="837"/>
      <c r="E26" s="236" t="s">
        <v>1025</v>
      </c>
      <c r="F26" s="929"/>
      <c r="G26" s="288"/>
      <c r="I26" s="128"/>
      <c r="J26" s="128"/>
    </row>
    <row r="27" ht="3" customHeight="1"/>
    <row r="28" ht="14.25" customHeight="1">
      <c r="D28" s="475"/>
      <c r="E28" s="799"/>
      <c r="F28" s="394"/>
      <c r="G28" s="394"/>
      <c r="H28" s="394"/>
      <c r="I28" s="394"/>
      <c r="J28" s="394"/>
      <c r="K28" s="394"/>
      <c r="L28" s="394"/>
      <c r="M28" s="394"/>
      <c r="N28" s="394"/>
      <c r="O28" s="394"/>
      <c r="P28" s="394"/>
    </row>
    <row r="29" ht="14.25" customHeight="1">
      <c r="D29" s="475"/>
      <c r="E29" s="106"/>
    </row>
    <row r="31" ht="14.25" customHeight="1">
      <c r="E31" s="50"/>
    </row>
  </sheetData>
  <sheetProtection autoFilter="0" deleteColumns="0" deleteRows="0" formatCells="1" formatColumns="0" formatRows="0" insertColumns="1" insertHyperlinks="1" insertRows="0" pivotTables="1" selectLockedCells="0" selectUnlockedCells="0" sheet="0" sort="0"/>
  <mergeCells count="7">
    <mergeCell ref="D5:G5"/>
    <mergeCell ref="D6:G6"/>
    <mergeCell ref="D9:F9"/>
    <mergeCell ref="G9:G10"/>
    <mergeCell ref="G14:G15"/>
    <mergeCell ref="G17:G18"/>
    <mergeCell ref="G25:G26"/>
  </mergeCells>
  <printOptions headings="0" gridLines="0"/>
  <pageMargins left="0" right="0" top="0" bottom="0" header="0" footer="0.79000000000000004"/>
  <pageSetup paperSize="9" scale="38" firstPageNumber="4294967295"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BD0028-00F7-4986-9A1F-006B00620085}" type="textLength" allowBlank="1" error="Допускается ввод не более 900 символов!" errorStyle="stop" errorTitle="Ошибка" imeMode="noControl" operator="lessThanOrEqual" showDropDown="0" showErrorMessage="1" showInputMessage="1">
          <x14:formula1>
            <xm:f>900</xm:f>
          </x14:formula1>
          <xm:sqref>G14 G25 E17 E14 G17 G21 E25</xm:sqref>
        </x14:dataValidation>
        <x14:dataValidation xr:uid="{00D000CF-00E9-4AFD-B58C-00EC002B007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F14 F17:F19 F25:F26</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C13" zoomScale="90" workbookViewId="0">
      <selection activeCell="A1" activeCellId="0" sqref="A1"/>
    </sheetView>
  </sheetViews>
  <sheetFormatPr defaultColWidth="10.57421875" defaultRowHeight="14.25" customHeight="1"/>
  <cols>
    <col customWidth="1" hidden="1" min="1" max="1" style="61" width="9.140625"/>
    <col customWidth="1" hidden="1" min="2" max="2" style="53" width="9.140625"/>
    <col customWidth="1" min="3" max="3" style="477" width="3.7109375"/>
    <col customWidth="1" min="4" max="4" style="50" width="6.28125"/>
    <col customWidth="1" min="5" max="5" style="50" width="63.421875"/>
    <col customWidth="1" hidden="1" min="6" max="6" style="50" width="1.7109375"/>
    <col customWidth="1" min="7" max="8" style="50" width="35.7109375"/>
    <col customWidth="1" min="9" max="9" style="50" width="91.57421875"/>
    <col customWidth="1" min="10" max="10" style="50" width="68.8515625"/>
    <col min="11" max="12" style="128" width="10.57421875"/>
  </cols>
  <sheetData>
    <row r="1" ht="14.25" hidden="1" customHeight="1"/>
    <row r="2" s="50" customFormat="1" ht="18.75" hidden="1" customHeight="1">
      <c r="A2" s="64"/>
      <c r="B2" s="53"/>
      <c r="C2" s="934" t="s">
        <v>100</v>
      </c>
      <c r="D2" s="344"/>
      <c r="E2" s="92"/>
      <c r="F2" s="247"/>
      <c r="G2" s="247" t="s">
        <v>294</v>
      </c>
      <c r="H2" s="469"/>
      <c r="K2" s="128"/>
      <c r="L2" s="128"/>
    </row>
    <row r="3" s="50" customFormat="1" ht="14.25" hidden="1" customHeight="1">
      <c r="A3" s="61"/>
      <c r="B3" s="53"/>
      <c r="C3" s="477"/>
      <c r="K3" s="128"/>
      <c r="L3" s="128"/>
    </row>
    <row r="4" s="50" customFormat="1" ht="18.75" hidden="1" customHeight="1">
      <c r="A4" s="64"/>
      <c r="B4" s="53"/>
      <c r="C4" s="934" t="s">
        <v>100</v>
      </c>
      <c r="D4" s="344"/>
      <c r="E4" s="843" t="s">
        <v>1026</v>
      </c>
      <c r="F4" s="247"/>
      <c r="G4" s="935"/>
      <c r="H4" s="247" t="s">
        <v>294</v>
      </c>
      <c r="K4" s="128"/>
      <c r="L4" s="128"/>
    </row>
    <row r="5" s="50" customFormat="1" ht="14.25" hidden="1" customHeight="1">
      <c r="A5" s="61"/>
      <c r="B5" s="53"/>
      <c r="C5" s="477"/>
      <c r="K5" s="128"/>
      <c r="L5" s="128"/>
    </row>
    <row r="6" s="50" customFormat="1" ht="18.75" hidden="1" customHeight="1">
      <c r="A6" s="64"/>
      <c r="B6" s="53"/>
      <c r="C6" s="934" t="s">
        <v>100</v>
      </c>
      <c r="D6" s="344"/>
      <c r="E6" s="936" t="s">
        <v>1027</v>
      </c>
      <c r="F6" s="247"/>
      <c r="G6" s="935"/>
      <c r="H6" s="247" t="s">
        <v>294</v>
      </c>
      <c r="K6" s="128"/>
      <c r="L6" s="128"/>
    </row>
    <row r="7" s="50" customFormat="1" ht="14.25" hidden="1" customHeight="1">
      <c r="A7" s="61"/>
      <c r="B7" s="53"/>
      <c r="C7" s="477"/>
      <c r="K7" s="128"/>
      <c r="L7" s="128"/>
    </row>
    <row r="8" s="50" customFormat="1" ht="18.75" hidden="1" customHeight="1">
      <c r="A8" s="64"/>
      <c r="B8" s="53"/>
      <c r="C8" s="934" t="s">
        <v>100</v>
      </c>
      <c r="D8" s="344"/>
      <c r="E8" s="936" t="s">
        <v>1028</v>
      </c>
      <c r="F8" s="247"/>
      <c r="G8" s="935"/>
      <c r="H8" s="247" t="s">
        <v>294</v>
      </c>
      <c r="K8" s="128"/>
      <c r="L8" s="128"/>
    </row>
    <row r="9" s="50" customFormat="1" ht="14.25" hidden="1" customHeight="1">
      <c r="A9" s="61"/>
      <c r="B9" s="53"/>
      <c r="C9" s="477"/>
      <c r="K9" s="128"/>
      <c r="L9" s="128"/>
    </row>
    <row r="10" s="50" customFormat="1" ht="18.75" hidden="1" customHeight="1">
      <c r="A10" s="64"/>
      <c r="B10" s="53"/>
      <c r="C10" s="934" t="s">
        <v>100</v>
      </c>
      <c r="D10" s="344"/>
      <c r="E10" s="936" t="s">
        <v>1029</v>
      </c>
      <c r="F10" s="247"/>
      <c r="G10" s="384"/>
      <c r="H10" s="247" t="s">
        <v>294</v>
      </c>
      <c r="K10" s="128"/>
      <c r="L10" s="128" t="s">
        <v>1030</v>
      </c>
    </row>
    <row r="11" ht="14.25" hidden="1" customHeight="1"/>
    <row r="12" ht="14.25" hidden="1" customHeight="1"/>
    <row r="13" ht="14.25" customHeight="1">
      <c r="C13" s="537"/>
      <c r="D13" s="89"/>
      <c r="E13" s="89"/>
      <c r="F13" s="89"/>
      <c r="G13" s="89"/>
      <c r="H13" s="923"/>
      <c r="I13" s="923"/>
    </row>
    <row r="14" ht="27.75" customHeight="1">
      <c r="C14" s="537"/>
      <c r="D14" s="237" t="str">
        <f>PROCEDURE_TC_NAME_FORM</f>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
      <c r="F14" s="238"/>
      <c r="G14" s="238"/>
      <c r="H14" s="239"/>
      <c r="J14" s="50"/>
    </row>
    <row r="15" s="50" customFormat="1" ht="14.25" customHeight="1">
      <c r="A15" s="61"/>
      <c r="B15" s="53"/>
      <c r="C15" s="537"/>
      <c r="D15" s="407" t="str">
        <f>IF(org=0,"Не определено",org)</f>
        <v xml:space="preserve">филиал ПАО "ОГК-2" - Адлерская ТЭС</v>
      </c>
      <c r="E15" s="408"/>
      <c r="F15" s="408"/>
      <c r="G15" s="408"/>
      <c r="H15" s="409"/>
      <c r="J15" s="361"/>
      <c r="K15" s="128"/>
      <c r="L15" s="128"/>
    </row>
    <row r="16" ht="14.25" customHeight="1">
      <c r="C16" s="537"/>
      <c r="D16" s="89"/>
      <c r="E16" s="83"/>
      <c r="F16" s="83"/>
      <c r="G16" s="83"/>
      <c r="H16" s="341"/>
      <c r="I16" s="924"/>
    </row>
    <row r="17" s="50" customFormat="1" ht="14.25" hidden="1" customHeight="1">
      <c r="A17" s="61"/>
      <c r="B17" s="53"/>
      <c r="C17" s="537"/>
      <c r="D17" s="89"/>
      <c r="E17" s="83"/>
      <c r="F17" s="83"/>
      <c r="G17" s="83"/>
      <c r="H17" s="341"/>
      <c r="I17" s="924"/>
      <c r="K17" s="128"/>
      <c r="L17" s="128"/>
    </row>
    <row r="18" ht="21" customHeight="1">
      <c r="C18" s="537"/>
      <c r="D18" s="347" t="s">
        <v>288</v>
      </c>
      <c r="E18" s="347"/>
      <c r="F18" s="347"/>
      <c r="G18" s="347"/>
      <c r="H18" s="347"/>
      <c r="I18" s="925" t="s">
        <v>289</v>
      </c>
    </row>
    <row r="19" ht="21" customHeight="1">
      <c r="C19" s="537"/>
      <c r="D19" s="347" t="s">
        <v>85</v>
      </c>
      <c r="E19" s="247" t="s">
        <v>290</v>
      </c>
      <c r="F19" s="247"/>
      <c r="G19" s="247" t="s">
        <v>291</v>
      </c>
      <c r="H19" s="247" t="s">
        <v>380</v>
      </c>
      <c r="I19" s="925"/>
    </row>
    <row r="20" ht="12" hidden="1" customHeight="1">
      <c r="C20" s="537"/>
      <c r="D20" s="424"/>
      <c r="E20" s="424"/>
      <c r="F20" s="424"/>
      <c r="G20" s="424"/>
      <c r="H20" s="424"/>
      <c r="I20" s="424"/>
    </row>
    <row r="21" ht="14.25" customHeight="1">
      <c r="A21" s="64"/>
      <c r="C21" s="537"/>
      <c r="D21" s="344">
        <v>1</v>
      </c>
      <c r="E21" s="937" t="s">
        <v>1031</v>
      </c>
      <c r="F21" s="937"/>
      <c r="G21" s="937"/>
      <c r="H21" s="937"/>
      <c r="I21" s="918"/>
    </row>
    <row r="22" ht="20.25" customHeight="1">
      <c r="A22" s="64"/>
      <c r="C22" s="537"/>
      <c r="D22" s="344" t="s">
        <v>919</v>
      </c>
      <c r="E22" s="843" t="s">
        <v>1032</v>
      </c>
      <c r="F22" s="247"/>
      <c r="G22" s="938"/>
      <c r="H22" s="247" t="s">
        <v>294</v>
      </c>
      <c r="I22" s="484" t="s">
        <v>1033</v>
      </c>
    </row>
    <row r="23" ht="45" customHeight="1">
      <c r="A23" s="64"/>
      <c r="C23" s="537"/>
      <c r="D23" s="344" t="s">
        <v>921</v>
      </c>
      <c r="E23" s="843" t="s">
        <v>1034</v>
      </c>
      <c r="F23" s="247"/>
      <c r="G23" s="935"/>
      <c r="H23" s="469"/>
      <c r="I23" s="256" t="s">
        <v>1035</v>
      </c>
    </row>
    <row r="24" ht="14.25" customHeight="1">
      <c r="A24" s="64"/>
      <c r="B24" s="53">
        <v>3</v>
      </c>
      <c r="C24" s="537"/>
      <c r="D24" s="344">
        <v>2</v>
      </c>
      <c r="E24" s="937" t="str">
        <f>"Форма заявки на заключение договора о подключении (технологическом присоединении) к системе "&amp;TEMPLATE_SPHERE_RUS</f>
        <v xml:space="preserve">Форма заявки на заключение договора о подключении (технологическом присоединении) к системе теплоснабжения</v>
      </c>
      <c r="F24" s="247"/>
      <c r="G24" s="247" t="s">
        <v>294</v>
      </c>
      <c r="H24" s="469"/>
      <c r="I24" s="312" t="s">
        <v>785</v>
      </c>
    </row>
    <row r="25" ht="46.5" customHeight="1">
      <c r="A25" s="64"/>
      <c r="C25" s="537"/>
      <c r="D25" s="344">
        <v>3</v>
      </c>
      <c r="E25" s="9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 xml:space="preserve">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937"/>
      <c r="G25" s="937"/>
      <c r="H25" s="937"/>
      <c r="I25" s="918"/>
    </row>
    <row r="26" ht="14.25" customHeight="1">
      <c r="A26" s="64"/>
      <c r="C26" s="537"/>
      <c r="D26" s="344" t="s">
        <v>314</v>
      </c>
      <c r="E26" s="92"/>
      <c r="F26" s="247"/>
      <c r="G26" s="247" t="s">
        <v>294</v>
      </c>
      <c r="H26" s="469"/>
      <c r="I26" s="284" t="s">
        <v>1036</v>
      </c>
    </row>
    <row r="27" ht="15" customHeight="1">
      <c r="A27" s="64" t="s">
        <v>111</v>
      </c>
      <c r="C27" s="537"/>
      <c r="D27" s="837"/>
      <c r="E27" s="174" t="s">
        <v>1021</v>
      </c>
      <c r="F27" s="236"/>
      <c r="G27" s="236"/>
      <c r="H27" s="928"/>
      <c r="I27" s="288"/>
    </row>
    <row r="28" ht="38.25" customHeight="1">
      <c r="A28" s="64"/>
      <c r="B28" s="53">
        <v>3</v>
      </c>
      <c r="C28" s="537"/>
      <c r="D28" s="344">
        <v>4</v>
      </c>
      <c r="E28" s="9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 xml:space="preserve">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937"/>
      <c r="G28" s="937"/>
      <c r="H28" s="937"/>
      <c r="I28" s="918"/>
    </row>
    <row r="29" ht="20.25" customHeight="1">
      <c r="A29" s="64"/>
      <c r="C29" s="537"/>
      <c r="D29" s="344" t="s">
        <v>649</v>
      </c>
      <c r="E29" s="843" t="s">
        <v>1026</v>
      </c>
      <c r="F29" s="247"/>
      <c r="G29" s="935"/>
      <c r="H29" s="247" t="s">
        <v>294</v>
      </c>
      <c r="I29" s="284" t="s">
        <v>1037</v>
      </c>
    </row>
    <row r="30" ht="15" customHeight="1">
      <c r="A30" s="64" t="s">
        <v>99</v>
      </c>
      <c r="C30" s="537"/>
      <c r="D30" s="837"/>
      <c r="E30" s="174" t="s">
        <v>1021</v>
      </c>
      <c r="F30" s="236"/>
      <c r="G30" s="236"/>
      <c r="H30" s="928"/>
      <c r="I30" s="288"/>
    </row>
    <row r="31" ht="30" customHeight="1">
      <c r="A31" s="64"/>
      <c r="B31" s="53">
        <v>3</v>
      </c>
      <c r="C31" s="537"/>
      <c r="D31" s="344">
        <v>5</v>
      </c>
      <c r="E31" s="9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937"/>
      <c r="G31" s="937"/>
      <c r="H31" s="937"/>
      <c r="I31" s="918"/>
    </row>
    <row r="32" ht="26.25" customHeight="1">
      <c r="A32" s="64"/>
      <c r="C32" s="537"/>
      <c r="D32" s="344" t="s">
        <v>303</v>
      </c>
      <c r="E32" s="84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43"/>
      <c r="G32" s="843"/>
      <c r="H32" s="843"/>
      <c r="I32" s="918"/>
    </row>
    <row r="33" ht="14.25" customHeight="1">
      <c r="A33" s="64"/>
      <c r="C33" s="537"/>
      <c r="D33" s="344" t="s">
        <v>1038</v>
      </c>
      <c r="E33" s="936" t="s">
        <v>1027</v>
      </c>
      <c r="F33" s="247"/>
      <c r="G33" s="935"/>
      <c r="H33" s="247" t="s">
        <v>294</v>
      </c>
      <c r="I33" s="284" t="s">
        <v>1039</v>
      </c>
    </row>
    <row r="34" ht="15" customHeight="1">
      <c r="A34" s="64" t="s">
        <v>87</v>
      </c>
      <c r="C34" s="537"/>
      <c r="D34" s="837"/>
      <c r="E34" s="236" t="s">
        <v>1021</v>
      </c>
      <c r="F34" s="669"/>
      <c r="G34" s="669"/>
      <c r="H34" s="928"/>
      <c r="I34" s="288"/>
    </row>
    <row r="35" ht="24" customHeight="1">
      <c r="A35" s="64"/>
      <c r="C35" s="537"/>
      <c r="D35" s="344" t="s">
        <v>305</v>
      </c>
      <c r="E35" s="84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43"/>
      <c r="G35" s="843"/>
      <c r="H35" s="843"/>
      <c r="I35" s="918"/>
    </row>
    <row r="36" ht="14.25" customHeight="1">
      <c r="A36" s="64"/>
      <c r="C36" s="537"/>
      <c r="D36" s="344" t="s">
        <v>1040</v>
      </c>
      <c r="E36" s="936" t="s">
        <v>1028</v>
      </c>
      <c r="F36" s="247"/>
      <c r="G36" s="935"/>
      <c r="H36" s="247" t="s">
        <v>294</v>
      </c>
      <c r="I36" s="256" t="s">
        <v>1041</v>
      </c>
    </row>
    <row r="37" ht="15" customHeight="1">
      <c r="A37" s="64" t="s">
        <v>88</v>
      </c>
      <c r="C37" s="537"/>
      <c r="D37" s="837"/>
      <c r="E37" s="236" t="s">
        <v>1021</v>
      </c>
      <c r="F37" s="669"/>
      <c r="G37" s="669"/>
      <c r="H37" s="928"/>
      <c r="I37" s="256"/>
    </row>
    <row r="38" ht="26.25" customHeight="1">
      <c r="A38" s="64"/>
      <c r="C38" s="537"/>
      <c r="D38" s="344" t="s">
        <v>308</v>
      </c>
      <c r="E38" s="84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43"/>
      <c r="G38" s="843"/>
      <c r="H38" s="843"/>
      <c r="I38" s="918"/>
    </row>
    <row r="39" ht="14.25" customHeight="1">
      <c r="A39" s="64"/>
      <c r="C39" s="537"/>
      <c r="D39" s="344" t="s">
        <v>778</v>
      </c>
      <c r="E39" s="936" t="s">
        <v>1029</v>
      </c>
      <c r="F39" s="247"/>
      <c r="G39" s="384"/>
      <c r="H39" s="247" t="s">
        <v>294</v>
      </c>
      <c r="I39" s="284" t="s">
        <v>1042</v>
      </c>
      <c r="L39" s="128" t="s">
        <v>1030</v>
      </c>
    </row>
    <row r="40" ht="15" customHeight="1">
      <c r="A40" s="64" t="s">
        <v>112</v>
      </c>
      <c r="C40" s="537"/>
      <c r="D40" s="837"/>
      <c r="E40" s="236" t="s">
        <v>1021</v>
      </c>
      <c r="F40" s="669"/>
      <c r="G40" s="669"/>
      <c r="H40" s="928"/>
      <c r="I40" s="288"/>
    </row>
    <row r="41" s="142" customFormat="1" ht="3" customHeight="1">
      <c r="A41" s="64"/>
      <c r="K41" s="166"/>
      <c r="L41" s="166"/>
    </row>
    <row r="42" ht="24.75" customHeight="1">
      <c r="D42" s="475" t="s">
        <v>700</v>
      </c>
      <c r="E42" s="572" t="str">
        <f>"Информация размещается в случае, если организация осуществляет услуги по подключению (технологическому присоединению) к системе "&amp;TEMPLATE_SPHERE_RUS&amp;"."</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v>
      </c>
      <c r="F42" s="572"/>
      <c r="G42" s="572"/>
      <c r="H42" s="572"/>
      <c r="I42" s="572"/>
    </row>
  </sheetData>
  <sheetProtection autoFilter="0" deleteColumns="0" deleteRows="0" formatCells="1" formatColumns="0" formatRows="0" insertColumns="1" insertHyperlinks="1" insertRows="0" pivotTables="1" selectLockedCells="0" selectUnlockedCells="0" sheet="0" sort="0"/>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1" disablePrompts="0">
    <dataValidation sqref="G2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6A00CF-001F-4404-9373-00B400D300A4}"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G10 G39</xm:sqref>
        </x14:dataValidation>
        <x14:dataValidation xr:uid="{000C00D3-0034-4F3C-A276-006500A40085}"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H23:H24 H2 H26</xm:sqref>
        </x14:dataValidation>
        <x14:dataValidation xr:uid="{00DE00F9-004B-4C1A-8F98-00D2002D000F}" type="textLength" allowBlank="1" error="Допускается ввод не более 900 символов!" errorStyle="stop" errorTitle="Ошибка" imeMode="noControl" operator="lessThanOrEqual" showDropDown="0" showErrorMessage="1" showInputMessage="1">
          <x14:formula1>
            <xm:f>900</xm:f>
          </x14:formula1>
          <xm:sqref>I23:I24 I33 G36 I39 I26 E29 G33 E36 I29 E33 I36 G23 E26 I10 E23 G29 E10 G8 E2 I2 I4 G4 E4 E6 I6 G6 E8 I8 E39</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D13" zoomScale="90" workbookViewId="0">
      <selection activeCell="A1" activeCellId="0" sqref="A1"/>
    </sheetView>
  </sheetViews>
  <sheetFormatPr defaultColWidth="10.57421875" defaultRowHeight="14.25" customHeight="1"/>
  <cols>
    <col customWidth="1" hidden="1" min="1" max="2" style="11" width="25.140625"/>
    <col customWidth="1" hidden="1" min="3" max="3" style="394" width="9.140625"/>
    <col customWidth="1" min="4" max="4" style="477" width="3.7109375"/>
    <col customWidth="1" min="5" max="5" style="50" width="6.28125"/>
    <col customWidth="1" min="6" max="6" style="50" width="46.7109375"/>
    <col customWidth="1" min="7" max="7" style="50" width="35.7109375"/>
    <col customWidth="1" min="8" max="8" style="50" width="3.7109375"/>
    <col customWidth="1" min="9" max="10" style="50" width="11.7109375"/>
    <col customWidth="1" min="11" max="12" style="50" width="35.7109375"/>
    <col customWidth="1" min="13" max="13" style="50" width="84.8515625"/>
    <col min="14" max="14" style="50" width="10.57421875"/>
    <col min="15" max="16" style="128" width="10.57421875"/>
    <col min="17" max="33" style="50" width="10.57421875"/>
  </cols>
  <sheetData>
    <row r="1" s="50" customFormat="1" ht="14.25" hidden="1" customHeight="1">
      <c r="A1" s="11"/>
      <c r="B1" s="11"/>
      <c r="C1" s="394"/>
      <c r="D1" s="477"/>
      <c r="N1" s="57">
        <f>_xlfn.IFERROR(MATCH("метод экономически обоснованных расходов (затрат)",OFFER_METHOD,0),0)</f>
        <v>0</v>
      </c>
      <c r="O1" s="128"/>
      <c r="P1" s="128"/>
      <c r="T1" s="120"/>
      <c r="AG1" s="922"/>
    </row>
    <row r="2" s="50" customFormat="1" ht="18.75" hidden="1" customHeight="1">
      <c r="A2" s="142" t="s">
        <v>157</v>
      </c>
      <c r="B2" s="142" t="s">
        <v>158</v>
      </c>
      <c r="C2" s="394"/>
      <c r="D2" s="477"/>
      <c r="E2" s="553"/>
      <c r="F2" s="553"/>
      <c r="G2" s="863" t="str">
        <f>INDEX(PT_DIFFERENTIATION_NTAR,MATCH(B2,PT_DIFFERENTIATION_NTAR_ID,0))</f>
        <v/>
      </c>
      <c r="H2" s="416"/>
      <c r="I2" s="939"/>
      <c r="J2" s="940"/>
      <c r="K2" s="941"/>
      <c r="L2" s="416" t="s">
        <v>294</v>
      </c>
      <c r="M2" s="609"/>
      <c r="N2" s="758"/>
      <c r="O2" s="128"/>
      <c r="P2" s="128"/>
    </row>
    <row r="3" s="50" customFormat="1" ht="18.75" hidden="1" customHeight="1">
      <c r="A3" s="142"/>
      <c r="B3" s="142"/>
      <c r="C3" s="394" t="s">
        <v>1043</v>
      </c>
      <c r="D3" s="477"/>
      <c r="E3" s="553"/>
      <c r="F3" s="553"/>
      <c r="G3" s="863"/>
      <c r="H3" s="681"/>
      <c r="I3" s="179" t="s">
        <v>1044</v>
      </c>
      <c r="J3" s="236"/>
      <c r="K3" s="681"/>
      <c r="L3" s="928"/>
      <c r="M3" s="609"/>
      <c r="N3" s="758"/>
      <c r="O3" s="128"/>
      <c r="P3" s="128"/>
    </row>
    <row r="4" s="50" customFormat="1" ht="14.25" hidden="1" customHeight="1">
      <c r="A4" s="11"/>
      <c r="B4" s="11"/>
      <c r="C4" s="394"/>
      <c r="D4" s="477"/>
      <c r="N4" s="57">
        <f>_xlfn.IFERROR(MATCH("метод экономически обоснованных расходов (затрат)",OFFER_METHOD,0),0)</f>
        <v>0</v>
      </c>
      <c r="O4" s="128"/>
      <c r="P4" s="128"/>
      <c r="T4" s="120"/>
      <c r="AG4" s="922"/>
    </row>
    <row r="5" s="50" customFormat="1" ht="18.75" hidden="1" customHeight="1">
      <c r="A5" s="142" t="s">
        <v>157</v>
      </c>
      <c r="B5" s="142" t="s">
        <v>158</v>
      </c>
      <c r="C5" s="394"/>
      <c r="D5" s="477"/>
      <c r="E5" s="553"/>
      <c r="F5" s="553"/>
      <c r="G5" s="863" t="str">
        <f>INDEX(PT_DIFFERENTIATION_NTAR,MATCH(B5,PT_DIFFERENTIATION_NTAR_ID,0))</f>
        <v/>
      </c>
      <c r="H5" s="416"/>
      <c r="I5" s="939"/>
      <c r="J5" s="940"/>
      <c r="K5" s="432"/>
      <c r="L5" s="416" t="s">
        <v>294</v>
      </c>
      <c r="M5" s="609"/>
      <c r="N5" s="758"/>
      <c r="O5" s="128"/>
      <c r="P5" s="128"/>
    </row>
    <row r="6" s="50" customFormat="1" ht="18.75" hidden="1" customHeight="1">
      <c r="A6" s="142"/>
      <c r="B6" s="142"/>
      <c r="C6" s="394" t="s">
        <v>1045</v>
      </c>
      <c r="D6" s="477"/>
      <c r="E6" s="553"/>
      <c r="F6" s="553"/>
      <c r="G6" s="863"/>
      <c r="H6" s="681"/>
      <c r="I6" s="179" t="s">
        <v>1044</v>
      </c>
      <c r="J6" s="236"/>
      <c r="K6" s="681"/>
      <c r="L6" s="928"/>
      <c r="M6" s="609"/>
      <c r="N6" s="758"/>
      <c r="O6" s="128"/>
      <c r="P6" s="128"/>
    </row>
    <row r="7" s="50" customFormat="1" ht="14.25" hidden="1" customHeight="1">
      <c r="A7" s="11"/>
      <c r="B7" s="11"/>
      <c r="C7" s="394"/>
      <c r="D7" s="477"/>
      <c r="N7" s="57">
        <f>_xlfn.IFERROR(MATCH("метод экономически обоснованных расходов (затрат)",OFFER_METHOD,0),0)</f>
        <v>0</v>
      </c>
      <c r="O7" s="128"/>
      <c r="P7" s="128"/>
      <c r="T7" s="120"/>
      <c r="AG7" s="922"/>
    </row>
    <row r="8" s="50" customFormat="1" ht="56.25" hidden="1" customHeight="1">
      <c r="A8" s="142"/>
      <c r="B8" s="142"/>
      <c r="C8" s="394"/>
      <c r="D8" s="477"/>
      <c r="E8" s="553"/>
      <c r="F8" s="553"/>
      <c r="G8" s="553"/>
      <c r="H8" s="416"/>
      <c r="I8" s="939"/>
      <c r="J8" s="940"/>
      <c r="K8" s="941"/>
      <c r="L8" s="416" t="s">
        <v>294</v>
      </c>
      <c r="M8" s="609"/>
      <c r="N8" s="758"/>
      <c r="O8" s="128"/>
      <c r="P8" s="128"/>
    </row>
    <row r="9" ht="14.25" hidden="1" customHeight="1">
      <c r="T9" s="120"/>
      <c r="AG9" s="922"/>
    </row>
    <row r="10" s="50" customFormat="1" ht="56.25" hidden="1" customHeight="1">
      <c r="A10" s="142"/>
      <c r="B10" s="142"/>
      <c r="C10" s="394"/>
      <c r="D10" s="477"/>
      <c r="E10" s="553"/>
      <c r="F10" s="553"/>
      <c r="G10" s="553"/>
      <c r="H10" s="247"/>
      <c r="I10" s="939"/>
      <c r="J10" s="940"/>
      <c r="K10" s="432"/>
      <c r="L10" s="416" t="s">
        <v>294</v>
      </c>
      <c r="M10" s="609"/>
      <c r="N10" s="758"/>
      <c r="O10" s="128"/>
      <c r="P10" s="128"/>
    </row>
    <row r="11" ht="14.25" hidden="1" customHeight="1"/>
    <row r="12" ht="14.25" hidden="1" customHeight="1"/>
    <row r="13" ht="6" customHeight="1">
      <c r="D13" s="537"/>
      <c r="E13" s="89"/>
      <c r="F13" s="89"/>
      <c r="G13" s="89"/>
      <c r="H13" s="89"/>
      <c r="I13" s="89"/>
      <c r="J13" s="89"/>
      <c r="K13" s="89"/>
      <c r="L13" s="923"/>
      <c r="M13" s="923"/>
    </row>
    <row r="14" ht="14.25" customHeight="1">
      <c r="D14" s="537"/>
      <c r="E14" s="9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 xml:space="preserve">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942"/>
      <c r="G14" s="942"/>
      <c r="H14" s="942"/>
      <c r="I14" s="942"/>
      <c r="J14" s="942"/>
      <c r="K14" s="942"/>
      <c r="L14" s="942"/>
      <c r="M14" s="241"/>
    </row>
    <row r="15" ht="6" customHeight="1">
      <c r="D15" s="537"/>
      <c r="E15" s="89"/>
      <c r="F15" s="83"/>
      <c r="G15" s="83"/>
      <c r="H15" s="83"/>
      <c r="I15" s="83"/>
      <c r="J15" s="83"/>
      <c r="K15" s="83"/>
      <c r="L15" s="539"/>
      <c r="M15" s="924"/>
    </row>
    <row r="16" ht="18.75" customHeight="1">
      <c r="D16" s="537"/>
      <c r="E16" s="89"/>
      <c r="F16" s="943" t="str">
        <f>"Дата подачи заявления об "&amp;IF(TITLE_DATE_PR_CHANGE="","утверждении","изменении")&amp;" тарифов"</f>
        <v xml:space="preserve">Дата подачи заявления об утверждении тарифов</v>
      </c>
      <c r="G16" s="544" t="str">
        <f>IF(TITLE_DATE_PR_CHANGE="",IF(TITLE_DATE_PR="","",TITLE_DATE_PR),TITLE_DATE_PR_CHANGE)</f>
        <v/>
      </c>
      <c r="H16" s="544"/>
      <c r="I16" s="544"/>
      <c r="J16" s="544"/>
      <c r="K16" s="544"/>
      <c r="L16" s="544"/>
      <c r="M16" s="758"/>
      <c r="N16" s="50"/>
    </row>
    <row r="17" ht="18.75" customHeight="1">
      <c r="D17" s="537"/>
      <c r="E17" s="89"/>
      <c r="F17" s="943" t="str">
        <f>"Номер подачи заявления об "&amp;IF(TITLE_DATE_PR_CHANGE="","утверждении","изменении")&amp;" тарифов"</f>
        <v xml:space="preserve">Номер подачи заявления об утверждении тарифов</v>
      </c>
      <c r="G17" s="542" t="str">
        <f>IF(TITLE_NUMBER_PR_CHANGE="",IF(TITLE_NUMBER_PR="","",TITLE_NUMBER_PR),TITLE_NUMBER_PR_CHANGE)</f>
        <v/>
      </c>
      <c r="H17" s="542"/>
      <c r="I17" s="542"/>
      <c r="J17" s="542"/>
      <c r="K17" s="542"/>
      <c r="L17" s="542"/>
      <c r="M17" s="758"/>
      <c r="N17" s="50"/>
    </row>
    <row r="18" ht="14.25" customHeight="1">
      <c r="D18" s="537"/>
      <c r="E18" s="89"/>
      <c r="F18" s="83"/>
      <c r="G18" s="83"/>
      <c r="H18" s="83"/>
      <c r="I18" s="83"/>
      <c r="J18" s="83"/>
      <c r="K18" s="83"/>
      <c r="L18" s="341"/>
      <c r="M18" s="924"/>
    </row>
    <row r="19" ht="21" customHeight="1">
      <c r="D19" s="537"/>
      <c r="E19" s="347" t="s">
        <v>288</v>
      </c>
      <c r="F19" s="347"/>
      <c r="G19" s="347"/>
      <c r="H19" s="347"/>
      <c r="I19" s="347"/>
      <c r="J19" s="347"/>
      <c r="K19" s="347"/>
      <c r="L19" s="347"/>
      <c r="M19" s="925" t="s">
        <v>289</v>
      </c>
    </row>
    <row r="20" ht="21" customHeight="1">
      <c r="D20" s="537"/>
      <c r="E20" s="551" t="s">
        <v>85</v>
      </c>
      <c r="F20" s="417" t="s">
        <v>124</v>
      </c>
      <c r="G20" s="417" t="s">
        <v>125</v>
      </c>
      <c r="H20" s="900" t="s">
        <v>1046</v>
      </c>
      <c r="I20" s="901"/>
      <c r="J20" s="902"/>
      <c r="K20" s="417" t="s">
        <v>291</v>
      </c>
      <c r="L20" s="417" t="s">
        <v>380</v>
      </c>
      <c r="M20" s="925"/>
    </row>
    <row r="21" ht="21" customHeight="1">
      <c r="D21" s="537"/>
      <c r="E21" s="559"/>
      <c r="F21" s="420"/>
      <c r="G21" s="420"/>
      <c r="H21" s="414" t="s">
        <v>1047</v>
      </c>
      <c r="I21" s="416"/>
      <c r="J21" s="247" t="s">
        <v>1048</v>
      </c>
      <c r="K21" s="420"/>
      <c r="L21" s="420"/>
      <c r="M21" s="925"/>
    </row>
    <row r="22" ht="12" customHeight="1">
      <c r="D22" s="537"/>
      <c r="E22" s="424"/>
      <c r="F22" s="424"/>
      <c r="G22" s="424"/>
      <c r="H22" s="944"/>
      <c r="I22" s="944"/>
      <c r="J22" s="424"/>
      <c r="K22" s="424"/>
      <c r="L22" s="424"/>
      <c r="M22" s="424"/>
    </row>
    <row r="23" ht="18.75" customHeight="1">
      <c r="A23" s="142"/>
      <c r="B23" s="142"/>
      <c r="D23" s="537"/>
      <c r="E23" s="945" t="s">
        <v>111</v>
      </c>
      <c r="F23" s="946" t="str">
        <f>"Предлагаемый метод регулирования"&amp;IF(TEMPLATE_SPHERE="HEAT"," в сфере "&amp;TEMPLATE_SPHERE_RUS,"")</f>
        <v xml:space="preserve">Предлагаемый метод регулирования в сфере теплоснабжения</v>
      </c>
      <c r="G23" s="946"/>
      <c r="H23" s="937"/>
      <c r="I23" s="937"/>
      <c r="J23" s="937"/>
      <c r="K23" s="946" t="s">
        <v>294</v>
      </c>
      <c r="L23" s="937"/>
      <c r="M23" s="312"/>
      <c r="N23" s="758"/>
    </row>
    <row r="24" ht="60.75" hidden="1" customHeight="1">
      <c r="A24" s="142" t="s">
        <v>157</v>
      </c>
      <c r="B24" s="142" t="s">
        <v>158</v>
      </c>
      <c r="D24" s="947"/>
      <c r="E24" s="344"/>
      <c r="F24" s="948" t="str">
        <f>INDEX(PT_DIFFERENTIATION_VTAR,MATCH(A24,PT_DIFFERENTIATION_VTAR_ID,0))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63" t="str">
        <f>INDEX(PT_DIFFERENTIATION_NTAR,MATCH(B24,PT_DIFFERENTIATION_NTAR_ID,0))</f>
        <v/>
      </c>
      <c r="H24" s="416"/>
      <c r="I24" s="939"/>
      <c r="J24" s="940"/>
      <c r="K24" s="941"/>
      <c r="L24" s="416" t="s">
        <v>294</v>
      </c>
      <c r="M24" s="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58"/>
    </row>
    <row r="25" s="50" customFormat="1" ht="18.75" hidden="1" customHeight="1">
      <c r="A25" s="142"/>
      <c r="B25" s="142"/>
      <c r="C25" s="394" t="s">
        <v>1043</v>
      </c>
      <c r="D25" s="947"/>
      <c r="E25" s="344"/>
      <c r="F25" s="948"/>
      <c r="G25" s="863"/>
      <c r="H25" s="681"/>
      <c r="I25" s="179" t="s">
        <v>1044</v>
      </c>
      <c r="J25" s="236"/>
      <c r="K25" s="681"/>
      <c r="L25" s="928"/>
      <c r="M25" s="286"/>
      <c r="N25" s="758"/>
      <c r="O25" s="128"/>
      <c r="P25" s="128"/>
    </row>
    <row r="26" ht="0.75" hidden="1" customHeight="1">
      <c r="A26" s="142"/>
      <c r="B26" s="142"/>
      <c r="C26" s="394" t="s">
        <v>1049</v>
      </c>
      <c r="D26" s="947"/>
      <c r="E26" s="344"/>
      <c r="F26" s="79"/>
      <c r="G26" s="949"/>
      <c r="H26" s="681"/>
      <c r="I26" s="179"/>
      <c r="J26" s="236"/>
      <c r="K26" s="681"/>
      <c r="L26" s="928"/>
      <c r="M26" s="286"/>
      <c r="N26" s="758"/>
    </row>
    <row r="27" s="50" customFormat="1" ht="45" hidden="1" customHeight="1">
      <c r="A27" s="142" t="s">
        <v>163</v>
      </c>
      <c r="B27" s="142" t="s">
        <v>164</v>
      </c>
      <c r="C27" s="394"/>
      <c r="D27" s="950"/>
      <c r="E27" s="951"/>
      <c r="F27" s="952" t="str">
        <f>INDEX(PT_DIFFERENTIATION_VTAR,MATCH(A27,PT_DIFFERENTIATION_VTAR_ID,0))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 s="863" t="str">
        <f>INDEX(PT_DIFFERENTIATION_NTAR,MATCH(B27,PT_DIFFERENTIATION_NTAR_ID,0))</f>
        <v/>
      </c>
      <c r="H27" s="416"/>
      <c r="I27" s="939"/>
      <c r="J27" s="940"/>
      <c r="K27" s="941"/>
      <c r="L27" s="416" t="s">
        <v>294</v>
      </c>
      <c r="M27" s="286"/>
      <c r="N27" s="758"/>
      <c r="O27" s="128"/>
      <c r="P27" s="128"/>
    </row>
    <row r="28" s="50" customFormat="1" ht="18.75" hidden="1" customHeight="1">
      <c r="A28" s="142"/>
      <c r="B28" s="142"/>
      <c r="C28" s="394" t="s">
        <v>1043</v>
      </c>
      <c r="D28" s="950"/>
      <c r="E28" s="951"/>
      <c r="F28" s="952"/>
      <c r="G28" s="863"/>
      <c r="H28" s="681"/>
      <c r="I28" s="179" t="s">
        <v>1044</v>
      </c>
      <c r="J28" s="236"/>
      <c r="K28" s="681"/>
      <c r="L28" s="928"/>
      <c r="M28" s="286"/>
      <c r="N28" s="758"/>
      <c r="O28" s="128"/>
      <c r="P28" s="128"/>
    </row>
    <row r="29" s="50" customFormat="1" ht="0.75" hidden="1" customHeight="1">
      <c r="A29" s="142"/>
      <c r="B29" s="142"/>
      <c r="C29" s="394" t="s">
        <v>1049</v>
      </c>
      <c r="D29" s="950"/>
      <c r="E29" s="344"/>
      <c r="F29" s="79"/>
      <c r="G29" s="949"/>
      <c r="H29" s="681"/>
      <c r="I29" s="179"/>
      <c r="J29" s="236"/>
      <c r="K29" s="681"/>
      <c r="L29" s="928"/>
      <c r="M29" s="286"/>
      <c r="N29" s="758"/>
      <c r="O29" s="128"/>
      <c r="P29" s="128"/>
    </row>
    <row r="30" s="50" customFormat="1" ht="45" hidden="1" customHeight="1">
      <c r="A30" s="142" t="s">
        <v>169</v>
      </c>
      <c r="B30" s="142" t="s">
        <v>170</v>
      </c>
      <c r="C30" s="394"/>
      <c r="D30" s="950"/>
      <c r="E30" s="344"/>
      <c r="F30" s="79" t="str">
        <f>INDEX(PT_DIFFERENTIATION_VTAR,MATCH(A30,PT_DIFFERENTIATION_VTAR_ID,0))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 s="863" t="str">
        <f>INDEX(PT_DIFFERENTIATION_NTAR,MATCH(B30,PT_DIFFERENTIATION_NTAR_ID,0))</f>
        <v/>
      </c>
      <c r="H30" s="416"/>
      <c r="I30" s="939"/>
      <c r="J30" s="940"/>
      <c r="K30" s="941"/>
      <c r="L30" s="416" t="s">
        <v>294</v>
      </c>
      <c r="M30" s="286"/>
      <c r="N30" s="758"/>
      <c r="O30" s="128"/>
      <c r="P30" s="128"/>
    </row>
    <row r="31" s="50" customFormat="1" ht="18.75" hidden="1" customHeight="1">
      <c r="A31" s="142"/>
      <c r="B31" s="142"/>
      <c r="C31" s="394" t="s">
        <v>1043</v>
      </c>
      <c r="D31" s="950"/>
      <c r="E31" s="344"/>
      <c r="F31" s="79"/>
      <c r="G31" s="863"/>
      <c r="H31" s="681"/>
      <c r="I31" s="179" t="s">
        <v>1044</v>
      </c>
      <c r="J31" s="236"/>
      <c r="K31" s="681"/>
      <c r="L31" s="928"/>
      <c r="M31" s="286"/>
      <c r="N31" s="758"/>
      <c r="O31" s="128"/>
      <c r="P31" s="128"/>
    </row>
    <row r="32" s="50" customFormat="1" ht="0.75" hidden="1" customHeight="1">
      <c r="A32" s="142"/>
      <c r="B32" s="142"/>
      <c r="C32" s="394" t="s">
        <v>1049</v>
      </c>
      <c r="D32" s="950"/>
      <c r="E32" s="344"/>
      <c r="F32" s="79"/>
      <c r="G32" s="949"/>
      <c r="H32" s="681"/>
      <c r="I32" s="179"/>
      <c r="J32" s="236"/>
      <c r="K32" s="681"/>
      <c r="L32" s="928"/>
      <c r="M32" s="286"/>
      <c r="N32" s="758"/>
      <c r="O32" s="128"/>
      <c r="P32" s="128"/>
    </row>
    <row r="33" s="50" customFormat="1" ht="45" hidden="1" customHeight="1">
      <c r="A33" s="142" t="s">
        <v>175</v>
      </c>
      <c r="B33" s="142" t="s">
        <v>176</v>
      </c>
      <c r="C33" s="394"/>
      <c r="D33" s="950"/>
      <c r="E33" s="344"/>
      <c r="F33" s="79" t="str">
        <f>INDEX(PT_DIFFERENTIATION_VTAR,MATCH(A33,PT_DIFFERENTIATION_VTAR_ID,0))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63" t="str">
        <f>INDEX(PT_DIFFERENTIATION_NTAR,MATCH(B33,PT_DIFFERENTIATION_NTAR_ID,0))</f>
        <v/>
      </c>
      <c r="H33" s="416"/>
      <c r="I33" s="939"/>
      <c r="J33" s="940"/>
      <c r="K33" s="941"/>
      <c r="L33" s="416" t="s">
        <v>294</v>
      </c>
      <c r="M33" s="286"/>
      <c r="N33" s="758"/>
      <c r="O33" s="128"/>
      <c r="P33" s="128"/>
    </row>
    <row r="34" s="50" customFormat="1" ht="18.75" hidden="1" customHeight="1">
      <c r="A34" s="142"/>
      <c r="B34" s="142"/>
      <c r="C34" s="394" t="s">
        <v>1043</v>
      </c>
      <c r="D34" s="950"/>
      <c r="E34" s="344"/>
      <c r="F34" s="79"/>
      <c r="G34" s="863"/>
      <c r="H34" s="681"/>
      <c r="I34" s="179" t="s">
        <v>1044</v>
      </c>
      <c r="J34" s="236"/>
      <c r="K34" s="681"/>
      <c r="L34" s="928"/>
      <c r="M34" s="286"/>
      <c r="N34" s="758"/>
      <c r="O34" s="128"/>
      <c r="P34" s="128"/>
    </row>
    <row r="35" s="50" customFormat="1" ht="0.75" hidden="1" customHeight="1">
      <c r="A35" s="142"/>
      <c r="B35" s="142"/>
      <c r="C35" s="394" t="s">
        <v>1049</v>
      </c>
      <c r="D35" s="950"/>
      <c r="E35" s="344"/>
      <c r="F35" s="79"/>
      <c r="G35" s="949"/>
      <c r="H35" s="681"/>
      <c r="I35" s="179"/>
      <c r="J35" s="236"/>
      <c r="K35" s="681"/>
      <c r="L35" s="928"/>
      <c r="M35" s="286"/>
      <c r="N35" s="758"/>
      <c r="O35" s="128"/>
      <c r="P35" s="128"/>
    </row>
    <row r="36" s="50" customFormat="1" ht="18.75" hidden="1" customHeight="1">
      <c r="A36" s="142" t="s">
        <v>181</v>
      </c>
      <c r="B36" s="142" t="s">
        <v>182</v>
      </c>
      <c r="C36" s="394"/>
      <c r="D36" s="950"/>
      <c r="E36" s="344"/>
      <c r="F36" s="79" t="str">
        <f>INDEX(PT_DIFFERENTIATION_VTAR,MATCH(A36,PT_DIFFERENTIATION_VTAR_ID,0))</f>
        <v xml:space="preserve">Тарифы на услуги по передаче тепловой энергии</v>
      </c>
      <c r="G36" s="863" t="str">
        <f>INDEX(PT_DIFFERENTIATION_NTAR,MATCH(B36,PT_DIFFERENTIATION_NTAR_ID,0))</f>
        <v/>
      </c>
      <c r="H36" s="416"/>
      <c r="I36" s="939"/>
      <c r="J36" s="940"/>
      <c r="K36" s="941"/>
      <c r="L36" s="416" t="s">
        <v>294</v>
      </c>
      <c r="M36" s="286"/>
      <c r="N36" s="758"/>
      <c r="O36" s="128"/>
      <c r="P36" s="128"/>
    </row>
    <row r="37" s="50" customFormat="1" ht="18.75" hidden="1" customHeight="1">
      <c r="A37" s="142"/>
      <c r="B37" s="142"/>
      <c r="C37" s="394" t="s">
        <v>1043</v>
      </c>
      <c r="D37" s="950"/>
      <c r="E37" s="344"/>
      <c r="F37" s="79"/>
      <c r="G37" s="863"/>
      <c r="H37" s="681"/>
      <c r="I37" s="179" t="s">
        <v>1044</v>
      </c>
      <c r="J37" s="236"/>
      <c r="K37" s="681"/>
      <c r="L37" s="928"/>
      <c r="M37" s="286"/>
      <c r="N37" s="758"/>
      <c r="O37" s="128"/>
      <c r="P37" s="128"/>
    </row>
    <row r="38" s="50" customFormat="1" ht="0.75" hidden="1" customHeight="1">
      <c r="A38" s="142"/>
      <c r="B38" s="142"/>
      <c r="C38" s="394" t="s">
        <v>1049</v>
      </c>
      <c r="D38" s="950"/>
      <c r="E38" s="344"/>
      <c r="F38" s="79"/>
      <c r="G38" s="949"/>
      <c r="H38" s="681"/>
      <c r="I38" s="179"/>
      <c r="J38" s="236"/>
      <c r="K38" s="681"/>
      <c r="L38" s="928"/>
      <c r="M38" s="286"/>
      <c r="N38" s="758"/>
      <c r="O38" s="128"/>
      <c r="P38" s="128"/>
    </row>
    <row r="39" s="50" customFormat="1" ht="18.75" hidden="1" customHeight="1">
      <c r="A39" s="142" t="s">
        <v>187</v>
      </c>
      <c r="B39" s="142" t="s">
        <v>188</v>
      </c>
      <c r="C39" s="394"/>
      <c r="D39" s="950"/>
      <c r="E39" s="344"/>
      <c r="F39" s="79" t="str">
        <f>INDEX(PT_DIFFERENTIATION_VTAR,MATCH(A39,PT_DIFFERENTIATION_VTAR_ID,0))</f>
        <v xml:space="preserve">Тарифы на услуги по передаче теплоносителя</v>
      </c>
      <c r="G39" s="863" t="str">
        <f>INDEX(PT_DIFFERENTIATION_NTAR,MATCH(B39,PT_DIFFERENTIATION_NTAR_ID,0))</f>
        <v/>
      </c>
      <c r="H39" s="416"/>
      <c r="I39" s="939"/>
      <c r="J39" s="940"/>
      <c r="K39" s="941"/>
      <c r="L39" s="416" t="s">
        <v>294</v>
      </c>
      <c r="M39" s="286"/>
      <c r="N39" s="758"/>
      <c r="O39" s="128"/>
      <c r="P39" s="128"/>
    </row>
    <row r="40" s="50" customFormat="1" ht="18.75" hidden="1" customHeight="1">
      <c r="A40" s="142"/>
      <c r="B40" s="142"/>
      <c r="C40" s="394" t="s">
        <v>1043</v>
      </c>
      <c r="D40" s="950"/>
      <c r="E40" s="344"/>
      <c r="F40" s="79"/>
      <c r="G40" s="863"/>
      <c r="H40" s="681"/>
      <c r="I40" s="179" t="s">
        <v>1044</v>
      </c>
      <c r="J40" s="236"/>
      <c r="K40" s="681"/>
      <c r="L40" s="928"/>
      <c r="M40" s="286"/>
      <c r="N40" s="758"/>
      <c r="O40" s="128"/>
      <c r="P40" s="128"/>
    </row>
    <row r="41" s="50" customFormat="1" ht="0.75" hidden="1" customHeight="1">
      <c r="A41" s="142"/>
      <c r="B41" s="142"/>
      <c r="C41" s="394" t="s">
        <v>1049</v>
      </c>
      <c r="D41" s="950"/>
      <c r="E41" s="344"/>
      <c r="F41" s="79"/>
      <c r="G41" s="949"/>
      <c r="H41" s="681"/>
      <c r="I41" s="179"/>
      <c r="J41" s="236"/>
      <c r="K41" s="681"/>
      <c r="L41" s="928"/>
      <c r="M41" s="286"/>
      <c r="N41" s="758"/>
      <c r="O41" s="128"/>
      <c r="P41" s="128"/>
    </row>
    <row r="42" s="50" customFormat="1" ht="18.75" hidden="1" customHeight="1">
      <c r="A42" s="142" t="s">
        <v>193</v>
      </c>
      <c r="B42" s="142" t="s">
        <v>194</v>
      </c>
      <c r="C42" s="394"/>
      <c r="D42" s="950"/>
      <c r="E42" s="344"/>
      <c r="F42" s="79" t="str">
        <f>INDEX(PT_DIFFERENTIATION_VTAR,MATCH(A42,PT_DIFFERENTIATION_VTAR_ID,0))</f>
        <v xml:space="preserve">Плата за услуги по поддержанию резервной тепловой мощности при отсутствии потребления тепловой энергии</v>
      </c>
      <c r="G42" s="863" t="str">
        <f>INDEX(PT_DIFFERENTIATION_NTAR,MATCH(B42,PT_DIFFERENTIATION_NTAR_ID,0))</f>
        <v/>
      </c>
      <c r="H42" s="416"/>
      <c r="I42" s="939"/>
      <c r="J42" s="940"/>
      <c r="K42" s="941"/>
      <c r="L42" s="416" t="s">
        <v>294</v>
      </c>
      <c r="M42" s="286"/>
      <c r="N42" s="758"/>
      <c r="O42" s="128"/>
      <c r="P42" s="128"/>
    </row>
    <row r="43" s="50" customFormat="1" ht="18.75" hidden="1" customHeight="1">
      <c r="A43" s="142"/>
      <c r="B43" s="142"/>
      <c r="C43" s="394" t="s">
        <v>1043</v>
      </c>
      <c r="D43" s="950"/>
      <c r="E43" s="344"/>
      <c r="F43" s="79"/>
      <c r="G43" s="863"/>
      <c r="H43" s="681"/>
      <c r="I43" s="179" t="s">
        <v>1044</v>
      </c>
      <c r="J43" s="236"/>
      <c r="K43" s="681"/>
      <c r="L43" s="928"/>
      <c r="M43" s="286"/>
      <c r="N43" s="758"/>
      <c r="O43" s="128"/>
      <c r="P43" s="128"/>
    </row>
    <row r="44" s="50" customFormat="1" ht="0.75" hidden="1" customHeight="1">
      <c r="A44" s="142"/>
      <c r="B44" s="142"/>
      <c r="C44" s="394" t="s">
        <v>1049</v>
      </c>
      <c r="D44" s="950"/>
      <c r="E44" s="344"/>
      <c r="F44" s="79"/>
      <c r="G44" s="949"/>
      <c r="H44" s="681"/>
      <c r="I44" s="179"/>
      <c r="J44" s="236"/>
      <c r="K44" s="681"/>
      <c r="L44" s="928"/>
      <c r="M44" s="286"/>
      <c r="N44" s="758"/>
      <c r="O44" s="128"/>
      <c r="P44" s="128"/>
    </row>
    <row r="45" s="50" customFormat="1" ht="18.75" hidden="1" customHeight="1">
      <c r="A45" s="142" t="s">
        <v>199</v>
      </c>
      <c r="B45" s="142" t="s">
        <v>200</v>
      </c>
      <c r="C45" s="394"/>
      <c r="D45" s="950"/>
      <c r="E45" s="344"/>
      <c r="F45" s="79" t="str">
        <f>INDEX(PT_DIFFERENTIATION_VTAR,MATCH(A45,PT_DIFFERENTIATION_VTAR_ID,0))</f>
        <v xml:space="preserve">Плата за подключение (технологическое присоединение) к системе теплоснабжения</v>
      </c>
      <c r="G45" s="863" t="str">
        <f>INDEX(PT_DIFFERENTIATION_NTAR,MATCH(B45,PT_DIFFERENTIATION_NTAR_ID,0))</f>
        <v/>
      </c>
      <c r="H45" s="416"/>
      <c r="I45" s="939"/>
      <c r="J45" s="940"/>
      <c r="K45" s="941"/>
      <c r="L45" s="416" t="s">
        <v>294</v>
      </c>
      <c r="M45" s="286"/>
      <c r="N45" s="758"/>
      <c r="O45" s="128"/>
      <c r="P45" s="128"/>
    </row>
    <row r="46" s="50" customFormat="1" ht="18.75" hidden="1" customHeight="1">
      <c r="A46" s="142"/>
      <c r="B46" s="142"/>
      <c r="C46" s="394" t="s">
        <v>1043</v>
      </c>
      <c r="D46" s="950"/>
      <c r="E46" s="344"/>
      <c r="F46" s="79"/>
      <c r="G46" s="863"/>
      <c r="H46" s="681"/>
      <c r="I46" s="179" t="s">
        <v>1044</v>
      </c>
      <c r="J46" s="236"/>
      <c r="K46" s="681"/>
      <c r="L46" s="928"/>
      <c r="M46" s="286"/>
      <c r="N46" s="758"/>
      <c r="O46" s="128"/>
      <c r="P46" s="128"/>
    </row>
    <row r="47" s="50" customFormat="1" ht="0.75" hidden="1" customHeight="1">
      <c r="A47" s="142"/>
      <c r="B47" s="142"/>
      <c r="C47" s="394" t="s">
        <v>1049</v>
      </c>
      <c r="D47" s="950"/>
      <c r="E47" s="344"/>
      <c r="F47" s="79"/>
      <c r="G47" s="949"/>
      <c r="H47" s="681"/>
      <c r="I47" s="179"/>
      <c r="J47" s="236"/>
      <c r="K47" s="681"/>
      <c r="L47" s="928"/>
      <c r="M47" s="286"/>
      <c r="N47" s="758"/>
      <c r="O47" s="128"/>
      <c r="P47" s="128"/>
    </row>
    <row r="48" s="50" customFormat="1" ht="18.75" hidden="1" customHeight="1">
      <c r="A48" s="142" t="s">
        <v>213</v>
      </c>
      <c r="B48" s="142" t="s">
        <v>214</v>
      </c>
      <c r="C48" s="394"/>
      <c r="D48" s="950"/>
      <c r="E48" s="344"/>
      <c r="F48" s="79" t="str">
        <f>INDEX(PT_DIFFERENTIATION_VTAR,MATCH(A48,PT_DIFFERENTIATION_VTAR_ID,0))</f>
        <v xml:space="preserve">Тариф на питьевую воду (питьевое водоснабжение)</v>
      </c>
      <c r="G48" s="863" t="str">
        <f>INDEX(PT_DIFFERENTIATION_NTAR,MATCH(B48,PT_DIFFERENTIATION_NTAR_ID,0))</f>
        <v/>
      </c>
      <c r="H48" s="416"/>
      <c r="I48" s="939"/>
      <c r="J48" s="940"/>
      <c r="K48" s="941"/>
      <c r="L48" s="416" t="s">
        <v>294</v>
      </c>
      <c r="M48" s="286"/>
      <c r="N48" s="758"/>
      <c r="O48" s="128"/>
      <c r="P48" s="128"/>
    </row>
    <row r="49" s="50" customFormat="1" ht="18.75" hidden="1" customHeight="1">
      <c r="A49" s="142"/>
      <c r="B49" s="142"/>
      <c r="C49" s="394" t="s">
        <v>1043</v>
      </c>
      <c r="D49" s="950"/>
      <c r="E49" s="344"/>
      <c r="F49" s="79"/>
      <c r="G49" s="863"/>
      <c r="H49" s="681"/>
      <c r="I49" s="179" t="s">
        <v>1044</v>
      </c>
      <c r="J49" s="236"/>
      <c r="K49" s="681"/>
      <c r="L49" s="928"/>
      <c r="M49" s="286"/>
      <c r="N49" s="758"/>
      <c r="O49" s="128"/>
      <c r="P49" s="128"/>
    </row>
    <row r="50" s="50" customFormat="1" ht="0.75" hidden="1" customHeight="1">
      <c r="A50" s="142"/>
      <c r="B50" s="142"/>
      <c r="C50" s="394" t="s">
        <v>1049</v>
      </c>
      <c r="D50" s="950"/>
      <c r="E50" s="344"/>
      <c r="F50" s="79"/>
      <c r="G50" s="949"/>
      <c r="H50" s="681"/>
      <c r="I50" s="179"/>
      <c r="J50" s="236"/>
      <c r="K50" s="681"/>
      <c r="L50" s="928"/>
      <c r="M50" s="286"/>
      <c r="N50" s="758"/>
      <c r="O50" s="128"/>
      <c r="P50" s="128"/>
    </row>
    <row r="51" s="50" customFormat="1" ht="18.75" hidden="1" customHeight="1">
      <c r="A51" s="142" t="s">
        <v>218</v>
      </c>
      <c r="B51" s="142" t="s">
        <v>219</v>
      </c>
      <c r="C51" s="394"/>
      <c r="D51" s="950"/>
      <c r="E51" s="344"/>
      <c r="F51" s="79" t="str">
        <f>INDEX(PT_DIFFERENTIATION_VTAR,MATCH(A51,PT_DIFFERENTIATION_VTAR_ID,0))</f>
        <v xml:space="preserve">Тариф на техническую воду</v>
      </c>
      <c r="G51" s="863" t="str">
        <f>INDEX(PT_DIFFERENTIATION_NTAR,MATCH(B51,PT_DIFFERENTIATION_NTAR_ID,0))</f>
        <v/>
      </c>
      <c r="H51" s="416"/>
      <c r="I51" s="939"/>
      <c r="J51" s="940"/>
      <c r="K51" s="941"/>
      <c r="L51" s="416" t="s">
        <v>294</v>
      </c>
      <c r="M51" s="286"/>
      <c r="N51" s="758"/>
      <c r="O51" s="128"/>
      <c r="P51" s="128"/>
    </row>
    <row r="52" s="50" customFormat="1" ht="18.75" hidden="1" customHeight="1">
      <c r="A52" s="142"/>
      <c r="B52" s="142"/>
      <c r="C52" s="394" t="s">
        <v>1043</v>
      </c>
      <c r="D52" s="950"/>
      <c r="E52" s="344"/>
      <c r="F52" s="79"/>
      <c r="G52" s="863"/>
      <c r="H52" s="681"/>
      <c r="I52" s="179" t="s">
        <v>1044</v>
      </c>
      <c r="J52" s="236"/>
      <c r="K52" s="681"/>
      <c r="L52" s="928"/>
      <c r="M52" s="286"/>
      <c r="N52" s="758"/>
      <c r="O52" s="128"/>
      <c r="P52" s="128"/>
    </row>
    <row r="53" s="50" customFormat="1" ht="0.75" hidden="1" customHeight="1">
      <c r="A53" s="142"/>
      <c r="B53" s="142"/>
      <c r="C53" s="394" t="s">
        <v>1049</v>
      </c>
      <c r="D53" s="950"/>
      <c r="E53" s="344"/>
      <c r="F53" s="79"/>
      <c r="G53" s="949"/>
      <c r="H53" s="681"/>
      <c r="I53" s="179"/>
      <c r="J53" s="236"/>
      <c r="K53" s="681"/>
      <c r="L53" s="928"/>
      <c r="M53" s="286"/>
      <c r="N53" s="758"/>
      <c r="O53" s="128"/>
      <c r="P53" s="128"/>
    </row>
    <row r="54" s="50" customFormat="1" ht="18.75" hidden="1" customHeight="1">
      <c r="A54" s="142" t="s">
        <v>223</v>
      </c>
      <c r="B54" s="142" t="s">
        <v>224</v>
      </c>
      <c r="C54" s="394"/>
      <c r="D54" s="950"/>
      <c r="E54" s="344"/>
      <c r="F54" s="79" t="str">
        <f>INDEX(PT_DIFFERENTIATION_VTAR,MATCH(A54,PT_DIFFERENTIATION_VTAR_ID,0))</f>
        <v xml:space="preserve">Тариф на транспортировку воды</v>
      </c>
      <c r="G54" s="863" t="str">
        <f>INDEX(PT_DIFFERENTIATION_NTAR,MATCH(B54,PT_DIFFERENTIATION_NTAR_ID,0))</f>
        <v/>
      </c>
      <c r="H54" s="416"/>
      <c r="I54" s="939"/>
      <c r="J54" s="940"/>
      <c r="K54" s="941"/>
      <c r="L54" s="416" t="s">
        <v>294</v>
      </c>
      <c r="M54" s="286"/>
      <c r="N54" s="758"/>
      <c r="O54" s="128"/>
      <c r="P54" s="128"/>
    </row>
    <row r="55" s="50" customFormat="1" ht="18.75" hidden="1" customHeight="1">
      <c r="A55" s="142"/>
      <c r="B55" s="142"/>
      <c r="C55" s="394" t="s">
        <v>1043</v>
      </c>
      <c r="D55" s="950"/>
      <c r="E55" s="344"/>
      <c r="F55" s="79"/>
      <c r="G55" s="863"/>
      <c r="H55" s="681"/>
      <c r="I55" s="179" t="s">
        <v>1044</v>
      </c>
      <c r="J55" s="236"/>
      <c r="K55" s="681"/>
      <c r="L55" s="928"/>
      <c r="M55" s="286"/>
      <c r="N55" s="758"/>
      <c r="O55" s="128"/>
      <c r="P55" s="128"/>
    </row>
    <row r="56" s="50" customFormat="1" ht="0.75" hidden="1" customHeight="1">
      <c r="A56" s="142"/>
      <c r="B56" s="142"/>
      <c r="C56" s="394" t="s">
        <v>1049</v>
      </c>
      <c r="D56" s="950"/>
      <c r="E56" s="344"/>
      <c r="F56" s="79"/>
      <c r="G56" s="949"/>
      <c r="H56" s="681"/>
      <c r="I56" s="179"/>
      <c r="J56" s="236"/>
      <c r="K56" s="681"/>
      <c r="L56" s="928"/>
      <c r="M56" s="286"/>
      <c r="N56" s="758"/>
      <c r="O56" s="128"/>
      <c r="P56" s="128"/>
    </row>
    <row r="57" s="50" customFormat="1" ht="18.75" hidden="1" customHeight="1">
      <c r="A57" s="142" t="s">
        <v>228</v>
      </c>
      <c r="B57" s="142" t="s">
        <v>229</v>
      </c>
      <c r="C57" s="394"/>
      <c r="D57" s="950"/>
      <c r="E57" s="344"/>
      <c r="F57" s="79" t="str">
        <f>INDEX(PT_DIFFERENTIATION_VTAR,MATCH(A57,PT_DIFFERENTIATION_VTAR_ID,0))</f>
        <v xml:space="preserve">Тариф на подвоз воды</v>
      </c>
      <c r="G57" s="863" t="str">
        <f>INDEX(PT_DIFFERENTIATION_NTAR,MATCH(B57,PT_DIFFERENTIATION_NTAR_ID,0))</f>
        <v/>
      </c>
      <c r="H57" s="416"/>
      <c r="I57" s="939"/>
      <c r="J57" s="940"/>
      <c r="K57" s="941"/>
      <c r="L57" s="416" t="s">
        <v>294</v>
      </c>
      <c r="M57" s="286"/>
      <c r="N57" s="758"/>
      <c r="O57" s="128"/>
      <c r="P57" s="128"/>
    </row>
    <row r="58" s="50" customFormat="1" ht="18.75" hidden="1" customHeight="1">
      <c r="A58" s="142"/>
      <c r="B58" s="142"/>
      <c r="C58" s="394" t="s">
        <v>1043</v>
      </c>
      <c r="D58" s="950"/>
      <c r="E58" s="344"/>
      <c r="F58" s="79"/>
      <c r="G58" s="863"/>
      <c r="H58" s="681"/>
      <c r="I58" s="179" t="s">
        <v>1044</v>
      </c>
      <c r="J58" s="236"/>
      <c r="K58" s="681"/>
      <c r="L58" s="928"/>
      <c r="M58" s="286"/>
      <c r="N58" s="758"/>
      <c r="O58" s="128"/>
      <c r="P58" s="128"/>
    </row>
    <row r="59" s="50" customFormat="1" ht="0.75" hidden="1" customHeight="1">
      <c r="A59" s="142"/>
      <c r="B59" s="142"/>
      <c r="C59" s="394" t="s">
        <v>1049</v>
      </c>
      <c r="D59" s="950"/>
      <c r="E59" s="344"/>
      <c r="F59" s="79"/>
      <c r="G59" s="949"/>
      <c r="H59" s="681"/>
      <c r="I59" s="179"/>
      <c r="J59" s="236"/>
      <c r="K59" s="681"/>
      <c r="L59" s="928"/>
      <c r="M59" s="286"/>
      <c r="N59" s="758"/>
      <c r="O59" s="128"/>
      <c r="P59" s="128"/>
    </row>
    <row r="60" s="50" customFormat="1" ht="18.75" hidden="1" customHeight="1">
      <c r="A60" s="142" t="s">
        <v>233</v>
      </c>
      <c r="B60" s="142" t="s">
        <v>234</v>
      </c>
      <c r="C60" s="394"/>
      <c r="D60" s="950"/>
      <c r="E60" s="344"/>
      <c r="F60" s="79" t="str">
        <f>INDEX(PT_DIFFERENTIATION_VTAR,MATCH(A60,PT_DIFFERENTIATION_VTAR_ID,0))</f>
        <v xml:space="preserve">Тариф на подключение (технологическое присоединение) к централизованной системе холодного водоснабжения</v>
      </c>
      <c r="G60" s="863" t="str">
        <f>INDEX(PT_DIFFERENTIATION_NTAR,MATCH(B60,PT_DIFFERENTIATION_NTAR_ID,0))</f>
        <v/>
      </c>
      <c r="H60" s="416"/>
      <c r="I60" s="939"/>
      <c r="J60" s="940"/>
      <c r="K60" s="941"/>
      <c r="L60" s="416" t="s">
        <v>294</v>
      </c>
      <c r="M60" s="286"/>
      <c r="N60" s="758"/>
      <c r="O60" s="128"/>
      <c r="P60" s="128"/>
    </row>
    <row r="61" s="50" customFormat="1" ht="18.75" hidden="1" customHeight="1">
      <c r="A61" s="142"/>
      <c r="B61" s="142"/>
      <c r="C61" s="394" t="s">
        <v>1043</v>
      </c>
      <c r="D61" s="950"/>
      <c r="E61" s="344"/>
      <c r="F61" s="79"/>
      <c r="G61" s="863"/>
      <c r="H61" s="681"/>
      <c r="I61" s="179" t="s">
        <v>1044</v>
      </c>
      <c r="J61" s="236"/>
      <c r="K61" s="681"/>
      <c r="L61" s="928"/>
      <c r="M61" s="286"/>
      <c r="N61" s="758"/>
      <c r="O61" s="128"/>
      <c r="P61" s="128"/>
    </row>
    <row r="62" s="50" customFormat="1" ht="0.75" hidden="1" customHeight="1">
      <c r="A62" s="142"/>
      <c r="B62" s="142"/>
      <c r="C62" s="394" t="s">
        <v>1049</v>
      </c>
      <c r="D62" s="950"/>
      <c r="E62" s="344"/>
      <c r="F62" s="79"/>
      <c r="G62" s="949"/>
      <c r="H62" s="681"/>
      <c r="I62" s="179"/>
      <c r="J62" s="236"/>
      <c r="K62" s="681"/>
      <c r="L62" s="928"/>
      <c r="M62" s="286"/>
      <c r="N62" s="758"/>
      <c r="O62" s="128"/>
      <c r="P62" s="128"/>
    </row>
    <row r="63" s="50" customFormat="1" ht="18.75" hidden="1" customHeight="1">
      <c r="A63" s="142" t="s">
        <v>238</v>
      </c>
      <c r="B63" s="142" t="s">
        <v>239</v>
      </c>
      <c r="C63" s="394"/>
      <c r="D63" s="950"/>
      <c r="E63" s="344"/>
      <c r="F63" s="79" t="str">
        <f>INDEX(PT_DIFFERENTIATION_VTAR,MATCH(A63,PT_DIFFERENTIATION_VTAR_ID,0))</f>
        <v xml:space="preserve">Тариф на горячую воду (горячее водоснабжение)</v>
      </c>
      <c r="G63" s="863" t="str">
        <f>INDEX(PT_DIFFERENTIATION_NTAR,MATCH(B63,PT_DIFFERENTIATION_NTAR_ID,0))</f>
        <v/>
      </c>
      <c r="H63" s="416"/>
      <c r="I63" s="939"/>
      <c r="J63" s="940"/>
      <c r="K63" s="941"/>
      <c r="L63" s="416" t="s">
        <v>294</v>
      </c>
      <c r="M63" s="286"/>
      <c r="N63" s="758"/>
      <c r="O63" s="128"/>
      <c r="P63" s="128"/>
    </row>
    <row r="64" s="50" customFormat="1" ht="18.75" hidden="1" customHeight="1">
      <c r="A64" s="142"/>
      <c r="B64" s="142"/>
      <c r="C64" s="394" t="s">
        <v>1043</v>
      </c>
      <c r="D64" s="950"/>
      <c r="E64" s="344"/>
      <c r="F64" s="79"/>
      <c r="G64" s="863"/>
      <c r="H64" s="681"/>
      <c r="I64" s="179" t="s">
        <v>1044</v>
      </c>
      <c r="J64" s="236"/>
      <c r="K64" s="681"/>
      <c r="L64" s="928"/>
      <c r="M64" s="286"/>
      <c r="N64" s="758"/>
      <c r="O64" s="128"/>
      <c r="P64" s="128"/>
    </row>
    <row r="65" s="50" customFormat="1" ht="0.75" hidden="1" customHeight="1">
      <c r="A65" s="142"/>
      <c r="B65" s="142"/>
      <c r="C65" s="394" t="s">
        <v>1049</v>
      </c>
      <c r="D65" s="950"/>
      <c r="E65" s="344"/>
      <c r="F65" s="79"/>
      <c r="G65" s="949"/>
      <c r="H65" s="681"/>
      <c r="I65" s="179"/>
      <c r="J65" s="236"/>
      <c r="K65" s="681"/>
      <c r="L65" s="928"/>
      <c r="M65" s="286"/>
      <c r="N65" s="758"/>
      <c r="O65" s="128"/>
      <c r="P65" s="128"/>
    </row>
    <row r="66" s="50" customFormat="1" ht="18.75" hidden="1" customHeight="1">
      <c r="A66" s="142" t="s">
        <v>243</v>
      </c>
      <c r="B66" s="142" t="s">
        <v>244</v>
      </c>
      <c r="C66" s="394"/>
      <c r="D66" s="950"/>
      <c r="E66" s="344"/>
      <c r="F66" s="79" t="str">
        <f>INDEX(PT_DIFFERENTIATION_VTAR,MATCH(A66,PT_DIFFERENTIATION_VTAR_ID,0))</f>
        <v xml:space="preserve">Тариф на транспортировку горячей воды</v>
      </c>
      <c r="G66" s="863" t="str">
        <f>INDEX(PT_DIFFERENTIATION_NTAR,MATCH(B66,PT_DIFFERENTIATION_NTAR_ID,0))</f>
        <v/>
      </c>
      <c r="H66" s="416"/>
      <c r="I66" s="939"/>
      <c r="J66" s="940"/>
      <c r="K66" s="941"/>
      <c r="L66" s="416" t="s">
        <v>294</v>
      </c>
      <c r="M66" s="286"/>
      <c r="N66" s="758"/>
      <c r="O66" s="128"/>
      <c r="P66" s="128"/>
    </row>
    <row r="67" s="50" customFormat="1" ht="18.75" hidden="1" customHeight="1">
      <c r="A67" s="142"/>
      <c r="B67" s="142"/>
      <c r="C67" s="394" t="s">
        <v>1043</v>
      </c>
      <c r="D67" s="950"/>
      <c r="E67" s="344"/>
      <c r="F67" s="79"/>
      <c r="G67" s="863"/>
      <c r="H67" s="681"/>
      <c r="I67" s="179" t="s">
        <v>1044</v>
      </c>
      <c r="J67" s="236"/>
      <c r="K67" s="681"/>
      <c r="L67" s="928"/>
      <c r="M67" s="286"/>
      <c r="N67" s="758"/>
      <c r="O67" s="128"/>
      <c r="P67" s="128"/>
    </row>
    <row r="68" s="50" customFormat="1" ht="0.75" hidden="1" customHeight="1">
      <c r="A68" s="142"/>
      <c r="B68" s="142"/>
      <c r="C68" s="394" t="s">
        <v>1049</v>
      </c>
      <c r="D68" s="950"/>
      <c r="E68" s="344"/>
      <c r="F68" s="79"/>
      <c r="G68" s="949"/>
      <c r="H68" s="681"/>
      <c r="I68" s="179"/>
      <c r="J68" s="236"/>
      <c r="K68" s="681"/>
      <c r="L68" s="928"/>
      <c r="M68" s="286"/>
      <c r="N68" s="758"/>
      <c r="O68" s="128"/>
      <c r="P68" s="128"/>
    </row>
    <row r="69" s="50" customFormat="1" ht="18.75" hidden="1" customHeight="1">
      <c r="A69" s="142" t="s">
        <v>248</v>
      </c>
      <c r="B69" s="142" t="s">
        <v>249</v>
      </c>
      <c r="C69" s="394"/>
      <c r="D69" s="950"/>
      <c r="E69" s="344"/>
      <c r="F69" s="79" t="str">
        <f>INDEX(PT_DIFFERENTIATION_VTAR,MATCH(A69,PT_DIFFERENTIATION_VTAR_ID,0))</f>
        <v xml:space="preserve">Тариф на подключение (технологическое присоединение) к централизованной системе горячего водоснабжения</v>
      </c>
      <c r="G69" s="863" t="str">
        <f>INDEX(PT_DIFFERENTIATION_NTAR,MATCH(B69,PT_DIFFERENTIATION_NTAR_ID,0))</f>
        <v/>
      </c>
      <c r="H69" s="416"/>
      <c r="I69" s="939"/>
      <c r="J69" s="940"/>
      <c r="K69" s="941"/>
      <c r="L69" s="416" t="s">
        <v>294</v>
      </c>
      <c r="M69" s="286"/>
      <c r="N69" s="758"/>
      <c r="O69" s="128"/>
      <c r="P69" s="128"/>
    </row>
    <row r="70" s="50" customFormat="1" ht="18.75" hidden="1" customHeight="1">
      <c r="A70" s="142"/>
      <c r="B70" s="142"/>
      <c r="C70" s="394" t="s">
        <v>1043</v>
      </c>
      <c r="D70" s="950"/>
      <c r="E70" s="344"/>
      <c r="F70" s="79"/>
      <c r="G70" s="863"/>
      <c r="H70" s="681"/>
      <c r="I70" s="179" t="s">
        <v>1044</v>
      </c>
      <c r="J70" s="236"/>
      <c r="K70" s="681"/>
      <c r="L70" s="928"/>
      <c r="M70" s="286"/>
      <c r="N70" s="758"/>
      <c r="O70" s="128"/>
      <c r="P70" s="128"/>
    </row>
    <row r="71" s="50" customFormat="1" ht="0.75" hidden="1" customHeight="1">
      <c r="A71" s="142"/>
      <c r="B71" s="142"/>
      <c r="C71" s="394" t="s">
        <v>1049</v>
      </c>
      <c r="D71" s="950"/>
      <c r="E71" s="344"/>
      <c r="F71" s="79"/>
      <c r="G71" s="949"/>
      <c r="H71" s="681"/>
      <c r="I71" s="179"/>
      <c r="J71" s="236"/>
      <c r="K71" s="681"/>
      <c r="L71" s="928"/>
      <c r="M71" s="286"/>
      <c r="N71" s="758"/>
      <c r="O71" s="128"/>
      <c r="P71" s="128"/>
    </row>
    <row r="72" s="50" customFormat="1" ht="18.75" hidden="1" customHeight="1">
      <c r="A72" s="142" t="s">
        <v>253</v>
      </c>
      <c r="B72" s="142" t="s">
        <v>254</v>
      </c>
      <c r="C72" s="394"/>
      <c r="D72" s="950"/>
      <c r="E72" s="344"/>
      <c r="F72" s="79" t="str">
        <f>INDEX(PT_DIFFERENTIATION_VTAR,MATCH(A72,PT_DIFFERENTIATION_VTAR_ID,0))</f>
        <v xml:space="preserve">Тариф на водоотведение</v>
      </c>
      <c r="G72" s="863" t="str">
        <f>INDEX(PT_DIFFERENTIATION_NTAR,MATCH(B72,PT_DIFFERENTIATION_NTAR_ID,0))</f>
        <v/>
      </c>
      <c r="H72" s="416"/>
      <c r="I72" s="939"/>
      <c r="J72" s="940"/>
      <c r="K72" s="941"/>
      <c r="L72" s="416" t="s">
        <v>294</v>
      </c>
      <c r="M72" s="286"/>
      <c r="N72" s="758"/>
      <c r="O72" s="128"/>
      <c r="P72" s="128"/>
    </row>
    <row r="73" s="50" customFormat="1" ht="18.75" hidden="1" customHeight="1">
      <c r="A73" s="142"/>
      <c r="B73" s="142"/>
      <c r="C73" s="394" t="s">
        <v>1043</v>
      </c>
      <c r="D73" s="950"/>
      <c r="E73" s="344"/>
      <c r="F73" s="79"/>
      <c r="G73" s="863"/>
      <c r="H73" s="681"/>
      <c r="I73" s="179" t="s">
        <v>1044</v>
      </c>
      <c r="J73" s="236"/>
      <c r="K73" s="681"/>
      <c r="L73" s="928"/>
      <c r="M73" s="286"/>
      <c r="N73" s="758"/>
      <c r="O73" s="128"/>
      <c r="P73" s="128"/>
    </row>
    <row r="74" s="50" customFormat="1" ht="0.75" hidden="1" customHeight="1">
      <c r="A74" s="142"/>
      <c r="B74" s="142"/>
      <c r="C74" s="394" t="s">
        <v>1049</v>
      </c>
      <c r="D74" s="950"/>
      <c r="E74" s="344"/>
      <c r="F74" s="79"/>
      <c r="G74" s="949"/>
      <c r="H74" s="681"/>
      <c r="I74" s="179"/>
      <c r="J74" s="236"/>
      <c r="K74" s="681"/>
      <c r="L74" s="928"/>
      <c r="M74" s="286"/>
      <c r="N74" s="758"/>
      <c r="O74" s="128"/>
      <c r="P74" s="128"/>
    </row>
    <row r="75" s="50" customFormat="1" ht="18.75" hidden="1" customHeight="1">
      <c r="A75" s="142" t="s">
        <v>258</v>
      </c>
      <c r="B75" s="142" t="s">
        <v>259</v>
      </c>
      <c r="C75" s="394"/>
      <c r="D75" s="950"/>
      <c r="E75" s="344"/>
      <c r="F75" s="79" t="str">
        <f>INDEX(PT_DIFFERENTIATION_VTAR,MATCH(A75,PT_DIFFERENTIATION_VTAR_ID,0))</f>
        <v xml:space="preserve">Тариф на транспортировку сточных вод</v>
      </c>
      <c r="G75" s="863" t="str">
        <f>INDEX(PT_DIFFERENTIATION_NTAR,MATCH(B75,PT_DIFFERENTIATION_NTAR_ID,0))</f>
        <v/>
      </c>
      <c r="H75" s="416"/>
      <c r="I75" s="939"/>
      <c r="J75" s="940"/>
      <c r="K75" s="941"/>
      <c r="L75" s="416" t="s">
        <v>294</v>
      </c>
      <c r="M75" s="286"/>
      <c r="N75" s="758"/>
      <c r="O75" s="128"/>
      <c r="P75" s="128"/>
    </row>
    <row r="76" s="50" customFormat="1" ht="18.75" hidden="1" customHeight="1">
      <c r="A76" s="142"/>
      <c r="B76" s="142"/>
      <c r="C76" s="394" t="s">
        <v>1043</v>
      </c>
      <c r="D76" s="950"/>
      <c r="E76" s="344"/>
      <c r="F76" s="79"/>
      <c r="G76" s="863"/>
      <c r="H76" s="681"/>
      <c r="I76" s="179" t="s">
        <v>1044</v>
      </c>
      <c r="J76" s="236"/>
      <c r="K76" s="681"/>
      <c r="L76" s="928"/>
      <c r="M76" s="286"/>
      <c r="N76" s="758"/>
      <c r="O76" s="128"/>
      <c r="P76" s="128"/>
    </row>
    <row r="77" s="50" customFormat="1" ht="0.75" hidden="1" customHeight="1">
      <c r="A77" s="142"/>
      <c r="B77" s="142"/>
      <c r="C77" s="394" t="s">
        <v>1049</v>
      </c>
      <c r="D77" s="950"/>
      <c r="E77" s="344"/>
      <c r="F77" s="79"/>
      <c r="G77" s="949"/>
      <c r="H77" s="681"/>
      <c r="I77" s="179"/>
      <c r="J77" s="236"/>
      <c r="K77" s="681"/>
      <c r="L77" s="928"/>
      <c r="M77" s="286"/>
      <c r="N77" s="758"/>
      <c r="O77" s="128"/>
      <c r="P77" s="128"/>
    </row>
    <row r="78" s="50" customFormat="1" ht="18.75" hidden="1" customHeight="1">
      <c r="A78" s="142" t="s">
        <v>263</v>
      </c>
      <c r="B78" s="142" t="s">
        <v>264</v>
      </c>
      <c r="C78" s="394"/>
      <c r="D78" s="950"/>
      <c r="E78" s="344"/>
      <c r="F78" s="79" t="str">
        <f>INDEX(PT_DIFFERENTIATION_VTAR,MATCH(A78,PT_DIFFERENTIATION_VTAR_ID,0))</f>
        <v xml:space="preserve">Тариф на подключение (технологическое присоединение) к централизованной системе водоотведения</v>
      </c>
      <c r="G78" s="863" t="str">
        <f>INDEX(PT_DIFFERENTIATION_NTAR,MATCH(B78,PT_DIFFERENTIATION_NTAR_ID,0))</f>
        <v/>
      </c>
      <c r="H78" s="416"/>
      <c r="I78" s="939"/>
      <c r="J78" s="940"/>
      <c r="K78" s="941"/>
      <c r="L78" s="416" t="s">
        <v>294</v>
      </c>
      <c r="M78" s="286"/>
      <c r="N78" s="758"/>
      <c r="O78" s="128"/>
      <c r="P78" s="128"/>
    </row>
    <row r="79" s="50" customFormat="1" ht="18.75" hidden="1" customHeight="1">
      <c r="A79" s="142"/>
      <c r="B79" s="142"/>
      <c r="C79" s="394" t="s">
        <v>1043</v>
      </c>
      <c r="D79" s="950"/>
      <c r="E79" s="344"/>
      <c r="F79" s="79"/>
      <c r="G79" s="863"/>
      <c r="H79" s="681"/>
      <c r="I79" s="179" t="s">
        <v>1044</v>
      </c>
      <c r="J79" s="236"/>
      <c r="K79" s="681"/>
      <c r="L79" s="928"/>
      <c r="M79" s="286"/>
      <c r="N79" s="758"/>
      <c r="O79" s="128"/>
      <c r="P79" s="128"/>
    </row>
    <row r="80" s="50" customFormat="1" ht="0.75" customHeight="1">
      <c r="A80" s="142"/>
      <c r="B80" s="142"/>
      <c r="C80" s="394" t="s">
        <v>1049</v>
      </c>
      <c r="D80" s="950"/>
      <c r="E80" s="344"/>
      <c r="F80" s="79"/>
      <c r="G80" s="949"/>
      <c r="H80" s="681"/>
      <c r="I80" s="179"/>
      <c r="J80" s="236"/>
      <c r="K80" s="681"/>
      <c r="L80" s="928"/>
      <c r="M80" s="286"/>
      <c r="N80" s="758"/>
      <c r="O80" s="128"/>
      <c r="P80" s="128"/>
    </row>
    <row r="81" ht="18.75" customHeight="1">
      <c r="A81" s="142"/>
      <c r="B81" s="142"/>
      <c r="D81" s="537"/>
      <c r="E81" s="344" t="s">
        <v>99</v>
      </c>
      <c r="F81" s="9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 xml:space="preserve">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937"/>
      <c r="H81" s="937"/>
      <c r="I81" s="937"/>
      <c r="J81" s="937"/>
      <c r="K81" s="937"/>
      <c r="L81" s="937"/>
      <c r="M81" s="918"/>
      <c r="N81" s="758"/>
    </row>
    <row r="82" ht="33.75" customHeight="1">
      <c r="A82" s="142"/>
      <c r="B82" s="142"/>
      <c r="D82" s="537"/>
      <c r="E82" s="953"/>
      <c r="F82" s="247" t="s">
        <v>294</v>
      </c>
      <c r="G82" s="247" t="s">
        <v>294</v>
      </c>
      <c r="H82" s="414" t="s">
        <v>294</v>
      </c>
      <c r="I82" s="416"/>
      <c r="J82" s="247" t="s">
        <v>294</v>
      </c>
      <c r="K82" s="247" t="s">
        <v>294</v>
      </c>
      <c r="L82" s="735"/>
      <c r="M82" s="484" t="s">
        <v>1050</v>
      </c>
      <c r="N82" s="758"/>
    </row>
    <row r="83" ht="18.75" customHeight="1">
      <c r="A83" s="142"/>
      <c r="B83" s="142"/>
      <c r="D83" s="537"/>
      <c r="E83" s="344" t="s">
        <v>87</v>
      </c>
      <c r="F83" s="937" t="s">
        <v>1051</v>
      </c>
      <c r="G83" s="937"/>
      <c r="H83" s="937"/>
      <c r="I83" s="937"/>
      <c r="J83" s="937"/>
      <c r="K83" s="937"/>
      <c r="L83" s="937"/>
      <c r="M83" s="918"/>
      <c r="N83" s="758"/>
    </row>
    <row r="84" s="50" customFormat="1" ht="60.75" hidden="1" customHeight="1">
      <c r="A84" s="142" t="s">
        <v>157</v>
      </c>
      <c r="B84" s="142" t="s">
        <v>158</v>
      </c>
      <c r="C84" s="394"/>
      <c r="D84" s="950"/>
      <c r="E84" s="344"/>
      <c r="F84" s="79" t="str">
        <f>INDEX(PT_DIFFERENTIATION_VTAR,MATCH(A84,PT_DIFFERENTIATION_VTAR_ID,0))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863" t="str">
        <f>INDEX(PT_DIFFERENTIATION_NTAR,MATCH(B84,PT_DIFFERENTIATION_NTAR_ID,0))</f>
        <v/>
      </c>
      <c r="H84" s="416"/>
      <c r="I84" s="939"/>
      <c r="J84" s="940"/>
      <c r="K84" s="432"/>
      <c r="L84" s="416" t="s">
        <v>294</v>
      </c>
      <c r="M84" s="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758"/>
      <c r="O84" s="128"/>
      <c r="P84" s="128"/>
    </row>
    <row r="85" s="50" customFormat="1" ht="18.75" hidden="1" customHeight="1">
      <c r="A85" s="142"/>
      <c r="B85" s="142"/>
      <c r="C85" s="394" t="s">
        <v>1045</v>
      </c>
      <c r="D85" s="950"/>
      <c r="E85" s="344"/>
      <c r="F85" s="79"/>
      <c r="G85" s="863"/>
      <c r="H85" s="681"/>
      <c r="I85" s="179" t="s">
        <v>1044</v>
      </c>
      <c r="J85" s="236"/>
      <c r="K85" s="681"/>
      <c r="L85" s="928"/>
      <c r="M85" s="286"/>
      <c r="N85" s="758"/>
      <c r="O85" s="128"/>
      <c r="P85" s="128"/>
    </row>
    <row r="86" s="50" customFormat="1" ht="0.75" hidden="1" customHeight="1">
      <c r="A86" s="142"/>
      <c r="B86" s="142"/>
      <c r="C86" s="394" t="s">
        <v>1052</v>
      </c>
      <c r="D86" s="950"/>
      <c r="E86" s="344"/>
      <c r="F86" s="79"/>
      <c r="G86" s="949"/>
      <c r="H86" s="681"/>
      <c r="I86" s="179"/>
      <c r="J86" s="236"/>
      <c r="K86" s="681"/>
      <c r="L86" s="928"/>
      <c r="M86" s="286"/>
      <c r="N86" s="758"/>
      <c r="O86" s="128"/>
      <c r="P86" s="128"/>
    </row>
    <row r="87" s="50" customFormat="1" ht="45" hidden="1" customHeight="1">
      <c r="A87" s="142" t="s">
        <v>163</v>
      </c>
      <c r="B87" s="142" t="s">
        <v>164</v>
      </c>
      <c r="C87" s="394"/>
      <c r="D87" s="950"/>
      <c r="E87" s="344"/>
      <c r="F87" s="79" t="str">
        <f>INDEX(PT_DIFFERENTIATION_VTAR,MATCH(A87,PT_DIFFERENTIATION_VTAR_ID,0))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87" s="863" t="str">
        <f>INDEX(PT_DIFFERENTIATION_NTAR,MATCH(B87,PT_DIFFERENTIATION_NTAR_ID,0))</f>
        <v/>
      </c>
      <c r="H87" s="416"/>
      <c r="I87" s="939"/>
      <c r="J87" s="940"/>
      <c r="K87" s="432"/>
      <c r="L87" s="416" t="s">
        <v>294</v>
      </c>
      <c r="M87" s="288"/>
      <c r="N87" s="758"/>
      <c r="O87" s="128"/>
      <c r="P87" s="128"/>
    </row>
    <row r="88" s="50" customFormat="1" ht="18.75" hidden="1" customHeight="1">
      <c r="A88" s="142"/>
      <c r="B88" s="142"/>
      <c r="C88" s="394" t="s">
        <v>1045</v>
      </c>
      <c r="D88" s="950"/>
      <c r="E88" s="344"/>
      <c r="F88" s="79"/>
      <c r="G88" s="863"/>
      <c r="H88" s="681"/>
      <c r="I88" s="179" t="s">
        <v>1044</v>
      </c>
      <c r="J88" s="236"/>
      <c r="K88" s="681"/>
      <c r="L88" s="928"/>
      <c r="M88" s="286"/>
      <c r="N88" s="758"/>
      <c r="O88" s="128"/>
      <c r="P88" s="128"/>
    </row>
    <row r="89" s="50" customFormat="1" ht="0.75" hidden="1" customHeight="1">
      <c r="A89" s="142"/>
      <c r="B89" s="142"/>
      <c r="C89" s="394" t="s">
        <v>1052</v>
      </c>
      <c r="D89" s="950"/>
      <c r="E89" s="344"/>
      <c r="F89" s="79"/>
      <c r="G89" s="949"/>
      <c r="H89" s="681"/>
      <c r="I89" s="179"/>
      <c r="J89" s="236"/>
      <c r="K89" s="681"/>
      <c r="L89" s="928"/>
      <c r="M89" s="933"/>
      <c r="N89" s="758"/>
      <c r="O89" s="128"/>
      <c r="P89" s="128"/>
    </row>
    <row r="90" s="50" customFormat="1" ht="45" hidden="1" customHeight="1">
      <c r="A90" s="142" t="s">
        <v>169</v>
      </c>
      <c r="B90" s="142" t="s">
        <v>170</v>
      </c>
      <c r="C90" s="394"/>
      <c r="D90" s="950"/>
      <c r="E90" s="344"/>
      <c r="F90" s="79" t="str">
        <f>INDEX(PT_DIFFERENTIATION_VTAR,MATCH(A90,PT_DIFFERENTIATION_VTAR_ID,0))</f>
        <v xml:space="preserve">Тарифы на теплоноситель, поставляемый теплоснабжающими организациями потребителям, другим теплоснабжающим организациям</v>
      </c>
      <c r="G90" s="863" t="str">
        <f>INDEX(PT_DIFFERENTIATION_NTAR,MATCH(B90,PT_DIFFERENTIATION_NTAR_ID,0))</f>
        <v/>
      </c>
      <c r="H90" s="416"/>
      <c r="I90" s="939"/>
      <c r="J90" s="940"/>
      <c r="K90" s="432"/>
      <c r="L90" s="416" t="s">
        <v>294</v>
      </c>
      <c r="M90" s="933"/>
      <c r="N90" s="758"/>
      <c r="O90" s="128"/>
      <c r="P90" s="128"/>
    </row>
    <row r="91" s="50" customFormat="1" ht="18.75" hidden="1" customHeight="1">
      <c r="A91" s="142"/>
      <c r="B91" s="142"/>
      <c r="C91" s="394" t="s">
        <v>1045</v>
      </c>
      <c r="D91" s="950"/>
      <c r="E91" s="344"/>
      <c r="F91" s="79"/>
      <c r="G91" s="863"/>
      <c r="H91" s="681"/>
      <c r="I91" s="179" t="s">
        <v>1044</v>
      </c>
      <c r="J91" s="236"/>
      <c r="K91" s="681"/>
      <c r="L91" s="928"/>
      <c r="M91" s="933"/>
      <c r="N91" s="758"/>
      <c r="O91" s="128"/>
      <c r="P91" s="128"/>
    </row>
    <row r="92" s="50" customFormat="1" ht="0.75" hidden="1" customHeight="1">
      <c r="A92" s="142"/>
      <c r="B92" s="142"/>
      <c r="C92" s="394" t="s">
        <v>1052</v>
      </c>
      <c r="D92" s="950"/>
      <c r="E92" s="344"/>
      <c r="F92" s="79"/>
      <c r="G92" s="949"/>
      <c r="H92" s="681"/>
      <c r="I92" s="179"/>
      <c r="J92" s="236"/>
      <c r="K92" s="681"/>
      <c r="L92" s="928"/>
      <c r="M92" s="933"/>
      <c r="N92" s="758"/>
      <c r="O92" s="128"/>
      <c r="P92" s="128"/>
    </row>
    <row r="93" s="50" customFormat="1" ht="45" hidden="1" customHeight="1">
      <c r="A93" s="142" t="s">
        <v>175</v>
      </c>
      <c r="B93" s="142" t="s">
        <v>176</v>
      </c>
      <c r="C93" s="394"/>
      <c r="D93" s="950"/>
      <c r="E93" s="344"/>
      <c r="F93" s="79" t="str">
        <f>INDEX(PT_DIFFERENTIATION_VTAR,MATCH(A93,PT_DIFFERENTIATION_VTAR_ID,0))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863" t="str">
        <f>INDEX(PT_DIFFERENTIATION_NTAR,MATCH(B93,PT_DIFFERENTIATION_NTAR_ID,0))</f>
        <v/>
      </c>
      <c r="H93" s="416"/>
      <c r="I93" s="939"/>
      <c r="J93" s="940"/>
      <c r="K93" s="432"/>
      <c r="L93" s="416" t="s">
        <v>294</v>
      </c>
      <c r="M93" s="933"/>
      <c r="N93" s="758"/>
      <c r="O93" s="128"/>
      <c r="P93" s="128"/>
    </row>
    <row r="94" s="50" customFormat="1" ht="18.75" hidden="1" customHeight="1">
      <c r="A94" s="142"/>
      <c r="B94" s="142"/>
      <c r="C94" s="394" t="s">
        <v>1045</v>
      </c>
      <c r="D94" s="950"/>
      <c r="E94" s="344"/>
      <c r="F94" s="79"/>
      <c r="G94" s="863"/>
      <c r="H94" s="681"/>
      <c r="I94" s="179" t="s">
        <v>1044</v>
      </c>
      <c r="J94" s="236"/>
      <c r="K94" s="681"/>
      <c r="L94" s="928"/>
      <c r="M94" s="933"/>
      <c r="N94" s="758"/>
      <c r="O94" s="128"/>
      <c r="P94" s="128"/>
    </row>
    <row r="95" s="50" customFormat="1" ht="0.75" hidden="1" customHeight="1">
      <c r="A95" s="142"/>
      <c r="B95" s="142"/>
      <c r="C95" s="394" t="s">
        <v>1052</v>
      </c>
      <c r="D95" s="950"/>
      <c r="E95" s="344"/>
      <c r="F95" s="79"/>
      <c r="G95" s="949"/>
      <c r="H95" s="681"/>
      <c r="I95" s="179"/>
      <c r="J95" s="236"/>
      <c r="K95" s="681"/>
      <c r="L95" s="928"/>
      <c r="M95" s="933"/>
      <c r="N95" s="758"/>
      <c r="O95" s="128"/>
      <c r="P95" s="128"/>
    </row>
    <row r="96" s="50" customFormat="1" ht="18.75" hidden="1" customHeight="1">
      <c r="A96" s="142" t="s">
        <v>181</v>
      </c>
      <c r="B96" s="142" t="s">
        <v>182</v>
      </c>
      <c r="C96" s="394"/>
      <c r="D96" s="950"/>
      <c r="E96" s="344"/>
      <c r="F96" s="79" t="str">
        <f>INDEX(PT_DIFFERENTIATION_VTAR,MATCH(A96,PT_DIFFERENTIATION_VTAR_ID,0))</f>
        <v xml:space="preserve">Тарифы на услуги по передаче тепловой энергии</v>
      </c>
      <c r="G96" s="863" t="str">
        <f>INDEX(PT_DIFFERENTIATION_NTAR,MATCH(B96,PT_DIFFERENTIATION_NTAR_ID,0))</f>
        <v/>
      </c>
      <c r="H96" s="416"/>
      <c r="I96" s="939"/>
      <c r="J96" s="940"/>
      <c r="K96" s="432"/>
      <c r="L96" s="416" t="s">
        <v>294</v>
      </c>
      <c r="M96" s="933"/>
      <c r="N96" s="758"/>
      <c r="O96" s="128"/>
      <c r="P96" s="128"/>
    </row>
    <row r="97" s="50" customFormat="1" ht="18.75" hidden="1" customHeight="1">
      <c r="A97" s="142"/>
      <c r="B97" s="142"/>
      <c r="C97" s="394" t="s">
        <v>1045</v>
      </c>
      <c r="D97" s="950"/>
      <c r="E97" s="344"/>
      <c r="F97" s="79"/>
      <c r="G97" s="863"/>
      <c r="H97" s="681"/>
      <c r="I97" s="179" t="s">
        <v>1044</v>
      </c>
      <c r="J97" s="236"/>
      <c r="K97" s="681"/>
      <c r="L97" s="928"/>
      <c r="M97" s="933"/>
      <c r="N97" s="758"/>
      <c r="O97" s="128"/>
      <c r="P97" s="128"/>
    </row>
    <row r="98" s="50" customFormat="1" ht="0.75" hidden="1" customHeight="1">
      <c r="A98" s="142"/>
      <c r="B98" s="142"/>
      <c r="C98" s="394" t="s">
        <v>1052</v>
      </c>
      <c r="D98" s="950"/>
      <c r="E98" s="344"/>
      <c r="F98" s="79"/>
      <c r="G98" s="949"/>
      <c r="H98" s="681"/>
      <c r="I98" s="179"/>
      <c r="J98" s="236"/>
      <c r="K98" s="681"/>
      <c r="L98" s="928"/>
      <c r="M98" s="933"/>
      <c r="N98" s="758"/>
      <c r="O98" s="128"/>
      <c r="P98" s="128"/>
    </row>
    <row r="99" s="50" customFormat="1" ht="18.75" hidden="1" customHeight="1">
      <c r="A99" s="142" t="s">
        <v>187</v>
      </c>
      <c r="B99" s="142" t="s">
        <v>188</v>
      </c>
      <c r="C99" s="394"/>
      <c r="D99" s="950"/>
      <c r="E99" s="344"/>
      <c r="F99" s="79" t="str">
        <f>INDEX(PT_DIFFERENTIATION_VTAR,MATCH(A99,PT_DIFFERENTIATION_VTAR_ID,0))</f>
        <v xml:space="preserve">Тарифы на услуги по передаче теплоносителя</v>
      </c>
      <c r="G99" s="863" t="str">
        <f>INDEX(PT_DIFFERENTIATION_NTAR,MATCH(B99,PT_DIFFERENTIATION_NTAR_ID,0))</f>
        <v/>
      </c>
      <c r="H99" s="416"/>
      <c r="I99" s="939"/>
      <c r="J99" s="940"/>
      <c r="K99" s="432"/>
      <c r="L99" s="416" t="s">
        <v>294</v>
      </c>
      <c r="M99" s="933"/>
      <c r="N99" s="758"/>
      <c r="O99" s="128"/>
      <c r="P99" s="128"/>
    </row>
    <row r="100" s="50" customFormat="1" ht="18.75" hidden="1" customHeight="1">
      <c r="A100" s="142"/>
      <c r="B100" s="142"/>
      <c r="C100" s="394" t="s">
        <v>1045</v>
      </c>
      <c r="D100" s="950"/>
      <c r="E100" s="344"/>
      <c r="F100" s="79"/>
      <c r="G100" s="863"/>
      <c r="H100" s="681"/>
      <c r="I100" s="179" t="s">
        <v>1044</v>
      </c>
      <c r="J100" s="236"/>
      <c r="K100" s="681"/>
      <c r="L100" s="928"/>
      <c r="M100" s="933"/>
      <c r="N100" s="758"/>
      <c r="O100" s="128"/>
      <c r="P100" s="128"/>
    </row>
    <row r="101" s="50" customFormat="1" ht="0.75" hidden="1" customHeight="1">
      <c r="A101" s="142"/>
      <c r="B101" s="142"/>
      <c r="C101" s="394" t="s">
        <v>1052</v>
      </c>
      <c r="D101" s="950"/>
      <c r="E101" s="344"/>
      <c r="F101" s="79"/>
      <c r="G101" s="949"/>
      <c r="H101" s="681"/>
      <c r="I101" s="179"/>
      <c r="J101" s="236"/>
      <c r="K101" s="681"/>
      <c r="L101" s="928"/>
      <c r="M101" s="933"/>
      <c r="N101" s="758"/>
      <c r="O101" s="128"/>
      <c r="P101" s="128"/>
    </row>
    <row r="102" s="50" customFormat="1" ht="18.75" hidden="1" customHeight="1">
      <c r="A102" s="142" t="s">
        <v>193</v>
      </c>
      <c r="B102" s="142" t="s">
        <v>194</v>
      </c>
      <c r="C102" s="394"/>
      <c r="D102" s="950"/>
      <c r="E102" s="344"/>
      <c r="F102" s="79" t="str">
        <f>INDEX(PT_DIFFERENTIATION_VTAR,MATCH(A102,PT_DIFFERENTIATION_VTAR_ID,0))</f>
        <v xml:space="preserve">Плата за услуги по поддержанию резервной тепловой мощности при отсутствии потребления тепловой энергии</v>
      </c>
      <c r="G102" s="863" t="str">
        <f>INDEX(PT_DIFFERENTIATION_NTAR,MATCH(B102,PT_DIFFERENTIATION_NTAR_ID,0))</f>
        <v/>
      </c>
      <c r="H102" s="416"/>
      <c r="I102" s="939"/>
      <c r="J102" s="940"/>
      <c r="K102" s="432"/>
      <c r="L102" s="416" t="s">
        <v>294</v>
      </c>
      <c r="M102" s="933"/>
      <c r="N102" s="758"/>
      <c r="O102" s="128"/>
      <c r="P102" s="128"/>
    </row>
    <row r="103" s="50" customFormat="1" ht="18.75" hidden="1" customHeight="1">
      <c r="A103" s="142"/>
      <c r="B103" s="142"/>
      <c r="C103" s="394" t="s">
        <v>1045</v>
      </c>
      <c r="D103" s="950"/>
      <c r="E103" s="344"/>
      <c r="F103" s="79"/>
      <c r="G103" s="863"/>
      <c r="H103" s="681"/>
      <c r="I103" s="179" t="s">
        <v>1044</v>
      </c>
      <c r="J103" s="236"/>
      <c r="K103" s="681"/>
      <c r="L103" s="928"/>
      <c r="M103" s="933"/>
      <c r="N103" s="758"/>
      <c r="O103" s="128"/>
      <c r="P103" s="128"/>
    </row>
    <row r="104" s="50" customFormat="1" ht="0.75" hidden="1" customHeight="1">
      <c r="A104" s="142"/>
      <c r="B104" s="142"/>
      <c r="C104" s="394" t="s">
        <v>1052</v>
      </c>
      <c r="D104" s="950"/>
      <c r="E104" s="344"/>
      <c r="F104" s="79"/>
      <c r="G104" s="949"/>
      <c r="H104" s="681"/>
      <c r="I104" s="179"/>
      <c r="J104" s="236"/>
      <c r="K104" s="681"/>
      <c r="L104" s="928"/>
      <c r="M104" s="933"/>
      <c r="N104" s="758"/>
      <c r="O104" s="128"/>
      <c r="P104" s="128"/>
    </row>
    <row r="105" s="50" customFormat="1" ht="18.75" hidden="1" customHeight="1">
      <c r="A105" s="142" t="s">
        <v>199</v>
      </c>
      <c r="B105" s="142" t="s">
        <v>200</v>
      </c>
      <c r="C105" s="394"/>
      <c r="D105" s="950"/>
      <c r="E105" s="344"/>
      <c r="F105" s="79" t="str">
        <f>INDEX(PT_DIFFERENTIATION_VTAR,MATCH(A105,PT_DIFFERENTIATION_VTAR_ID,0))</f>
        <v xml:space="preserve">Плата за подключение (технологическое присоединение) к системе теплоснабжения</v>
      </c>
      <c r="G105" s="863" t="str">
        <f>INDEX(PT_DIFFERENTIATION_NTAR,MATCH(B105,PT_DIFFERENTIATION_NTAR_ID,0))</f>
        <v/>
      </c>
      <c r="H105" s="416"/>
      <c r="I105" s="939"/>
      <c r="J105" s="940"/>
      <c r="K105" s="432"/>
      <c r="L105" s="416" t="s">
        <v>294</v>
      </c>
      <c r="M105" s="933"/>
      <c r="N105" s="758"/>
      <c r="O105" s="128"/>
      <c r="P105" s="128"/>
    </row>
    <row r="106" s="50" customFormat="1" ht="18.75" hidden="1" customHeight="1">
      <c r="A106" s="142"/>
      <c r="B106" s="142"/>
      <c r="C106" s="394" t="s">
        <v>1045</v>
      </c>
      <c r="D106" s="950"/>
      <c r="E106" s="344"/>
      <c r="F106" s="79"/>
      <c r="G106" s="863"/>
      <c r="H106" s="681"/>
      <c r="I106" s="179" t="s">
        <v>1044</v>
      </c>
      <c r="J106" s="236"/>
      <c r="K106" s="681"/>
      <c r="L106" s="928"/>
      <c r="M106" s="933"/>
      <c r="N106" s="758"/>
      <c r="O106" s="128"/>
      <c r="P106" s="128"/>
    </row>
    <row r="107" s="50" customFormat="1" ht="0.75" hidden="1" customHeight="1">
      <c r="A107" s="142"/>
      <c r="B107" s="142"/>
      <c r="C107" s="394" t="s">
        <v>1052</v>
      </c>
      <c r="D107" s="950"/>
      <c r="E107" s="344"/>
      <c r="F107" s="79"/>
      <c r="G107" s="949"/>
      <c r="H107" s="681"/>
      <c r="I107" s="179"/>
      <c r="J107" s="236"/>
      <c r="K107" s="681"/>
      <c r="L107" s="928"/>
      <c r="M107" s="933"/>
      <c r="N107" s="758"/>
      <c r="O107" s="128"/>
      <c r="P107" s="128"/>
    </row>
    <row r="108" s="50" customFormat="1" ht="18.75" hidden="1" customHeight="1">
      <c r="A108" s="142" t="s">
        <v>213</v>
      </c>
      <c r="B108" s="142" t="s">
        <v>214</v>
      </c>
      <c r="C108" s="394"/>
      <c r="D108" s="950"/>
      <c r="E108" s="344"/>
      <c r="F108" s="79" t="str">
        <f>INDEX(PT_DIFFERENTIATION_VTAR,MATCH(A108,PT_DIFFERENTIATION_VTAR_ID,0))</f>
        <v xml:space="preserve">Тариф на питьевую воду (питьевое водоснабжение)</v>
      </c>
      <c r="G108" s="863" t="str">
        <f>INDEX(PT_DIFFERENTIATION_NTAR,MATCH(B108,PT_DIFFERENTIATION_NTAR_ID,0))</f>
        <v/>
      </c>
      <c r="H108" s="416"/>
      <c r="I108" s="939"/>
      <c r="J108" s="940"/>
      <c r="K108" s="432"/>
      <c r="L108" s="416" t="s">
        <v>294</v>
      </c>
      <c r="M108" s="933"/>
      <c r="N108" s="758"/>
      <c r="O108" s="128"/>
      <c r="P108" s="128"/>
    </row>
    <row r="109" s="50" customFormat="1" ht="18.75" hidden="1" customHeight="1">
      <c r="A109" s="142"/>
      <c r="B109" s="142"/>
      <c r="C109" s="394" t="s">
        <v>1045</v>
      </c>
      <c r="D109" s="950"/>
      <c r="E109" s="344"/>
      <c r="F109" s="79"/>
      <c r="G109" s="863"/>
      <c r="H109" s="681"/>
      <c r="I109" s="179" t="s">
        <v>1044</v>
      </c>
      <c r="J109" s="236"/>
      <c r="K109" s="681"/>
      <c r="L109" s="928"/>
      <c r="M109" s="933"/>
      <c r="N109" s="758"/>
      <c r="O109" s="128"/>
      <c r="P109" s="128"/>
    </row>
    <row r="110" s="50" customFormat="1" ht="0.75" hidden="1" customHeight="1">
      <c r="A110" s="142"/>
      <c r="B110" s="142"/>
      <c r="C110" s="394" t="s">
        <v>1052</v>
      </c>
      <c r="D110" s="950"/>
      <c r="E110" s="344"/>
      <c r="F110" s="79"/>
      <c r="G110" s="949"/>
      <c r="H110" s="681"/>
      <c r="I110" s="179"/>
      <c r="J110" s="236"/>
      <c r="K110" s="681"/>
      <c r="L110" s="928"/>
      <c r="M110" s="933"/>
      <c r="N110" s="758"/>
      <c r="O110" s="128"/>
      <c r="P110" s="128"/>
    </row>
    <row r="111" s="50" customFormat="1" ht="18.75" hidden="1" customHeight="1">
      <c r="A111" s="142" t="s">
        <v>218</v>
      </c>
      <c r="B111" s="142" t="s">
        <v>219</v>
      </c>
      <c r="C111" s="394"/>
      <c r="D111" s="950"/>
      <c r="E111" s="344"/>
      <c r="F111" s="79" t="str">
        <f>INDEX(PT_DIFFERENTIATION_VTAR,MATCH(A111,PT_DIFFERENTIATION_VTAR_ID,0))</f>
        <v xml:space="preserve">Тариф на техническую воду</v>
      </c>
      <c r="G111" s="863" t="str">
        <f>INDEX(PT_DIFFERENTIATION_NTAR,MATCH(B111,PT_DIFFERENTIATION_NTAR_ID,0))</f>
        <v/>
      </c>
      <c r="H111" s="416"/>
      <c r="I111" s="939"/>
      <c r="J111" s="940"/>
      <c r="K111" s="432"/>
      <c r="L111" s="416" t="s">
        <v>294</v>
      </c>
      <c r="M111" s="933"/>
      <c r="N111" s="758"/>
      <c r="O111" s="128"/>
      <c r="P111" s="128"/>
    </row>
    <row r="112" s="50" customFormat="1" ht="18.75" hidden="1" customHeight="1">
      <c r="A112" s="142"/>
      <c r="B112" s="142"/>
      <c r="C112" s="394" t="s">
        <v>1045</v>
      </c>
      <c r="D112" s="950"/>
      <c r="E112" s="344"/>
      <c r="F112" s="79"/>
      <c r="G112" s="863"/>
      <c r="H112" s="681"/>
      <c r="I112" s="179" t="s">
        <v>1044</v>
      </c>
      <c r="J112" s="236"/>
      <c r="K112" s="681"/>
      <c r="L112" s="928"/>
      <c r="M112" s="933"/>
      <c r="N112" s="758"/>
      <c r="O112" s="128"/>
      <c r="P112" s="128"/>
    </row>
    <row r="113" s="50" customFormat="1" ht="0.75" hidden="1" customHeight="1">
      <c r="A113" s="142"/>
      <c r="B113" s="142"/>
      <c r="C113" s="394" t="s">
        <v>1052</v>
      </c>
      <c r="D113" s="950"/>
      <c r="E113" s="344"/>
      <c r="F113" s="79"/>
      <c r="G113" s="949"/>
      <c r="H113" s="681"/>
      <c r="I113" s="179"/>
      <c r="J113" s="236"/>
      <c r="K113" s="681"/>
      <c r="L113" s="928"/>
      <c r="M113" s="933"/>
      <c r="N113" s="758"/>
      <c r="O113" s="128"/>
      <c r="P113" s="128"/>
    </row>
    <row r="114" s="50" customFormat="1" ht="18.75" hidden="1" customHeight="1">
      <c r="A114" s="142" t="s">
        <v>223</v>
      </c>
      <c r="B114" s="142" t="s">
        <v>224</v>
      </c>
      <c r="C114" s="394"/>
      <c r="D114" s="950"/>
      <c r="E114" s="344"/>
      <c r="F114" s="79" t="str">
        <f>INDEX(PT_DIFFERENTIATION_VTAR,MATCH(A114,PT_DIFFERENTIATION_VTAR_ID,0))</f>
        <v xml:space="preserve">Тариф на транспортировку воды</v>
      </c>
      <c r="G114" s="863" t="str">
        <f>INDEX(PT_DIFFERENTIATION_NTAR,MATCH(B114,PT_DIFFERENTIATION_NTAR_ID,0))</f>
        <v/>
      </c>
      <c r="H114" s="416"/>
      <c r="I114" s="939"/>
      <c r="J114" s="940"/>
      <c r="K114" s="432"/>
      <c r="L114" s="416" t="s">
        <v>294</v>
      </c>
      <c r="M114" s="933"/>
      <c r="N114" s="758"/>
      <c r="O114" s="128"/>
      <c r="P114" s="128"/>
    </row>
    <row r="115" s="50" customFormat="1" ht="18.75" hidden="1" customHeight="1">
      <c r="A115" s="142"/>
      <c r="B115" s="142"/>
      <c r="C115" s="394" t="s">
        <v>1045</v>
      </c>
      <c r="D115" s="950"/>
      <c r="E115" s="344"/>
      <c r="F115" s="79"/>
      <c r="G115" s="863"/>
      <c r="H115" s="681"/>
      <c r="I115" s="179" t="s">
        <v>1044</v>
      </c>
      <c r="J115" s="236"/>
      <c r="K115" s="681"/>
      <c r="L115" s="928"/>
      <c r="M115" s="933"/>
      <c r="N115" s="758"/>
      <c r="O115" s="128"/>
      <c r="P115" s="128"/>
    </row>
    <row r="116" s="50" customFormat="1" ht="0.75" hidden="1" customHeight="1">
      <c r="A116" s="142"/>
      <c r="B116" s="142"/>
      <c r="C116" s="394" t="s">
        <v>1052</v>
      </c>
      <c r="D116" s="950"/>
      <c r="E116" s="344"/>
      <c r="F116" s="79"/>
      <c r="G116" s="949"/>
      <c r="H116" s="681"/>
      <c r="I116" s="179"/>
      <c r="J116" s="236"/>
      <c r="K116" s="681"/>
      <c r="L116" s="928"/>
      <c r="M116" s="933"/>
      <c r="N116" s="758"/>
      <c r="O116" s="128"/>
      <c r="P116" s="128"/>
    </row>
    <row r="117" s="50" customFormat="1" ht="18.75" hidden="1" customHeight="1">
      <c r="A117" s="142" t="s">
        <v>228</v>
      </c>
      <c r="B117" s="142" t="s">
        <v>229</v>
      </c>
      <c r="C117" s="394"/>
      <c r="D117" s="950"/>
      <c r="E117" s="344"/>
      <c r="F117" s="79" t="str">
        <f>INDEX(PT_DIFFERENTIATION_VTAR,MATCH(A117,PT_DIFFERENTIATION_VTAR_ID,0))</f>
        <v xml:space="preserve">Тариф на подвоз воды</v>
      </c>
      <c r="G117" s="863" t="str">
        <f>INDEX(PT_DIFFERENTIATION_NTAR,MATCH(B117,PT_DIFFERENTIATION_NTAR_ID,0))</f>
        <v/>
      </c>
      <c r="H117" s="416"/>
      <c r="I117" s="939"/>
      <c r="J117" s="940"/>
      <c r="K117" s="432"/>
      <c r="L117" s="416" t="s">
        <v>294</v>
      </c>
      <c r="M117" s="933"/>
      <c r="N117" s="758"/>
      <c r="O117" s="128"/>
      <c r="P117" s="128"/>
    </row>
    <row r="118" s="50" customFormat="1" ht="18.75" hidden="1" customHeight="1">
      <c r="A118" s="142"/>
      <c r="B118" s="142"/>
      <c r="C118" s="394" t="s">
        <v>1045</v>
      </c>
      <c r="D118" s="950"/>
      <c r="E118" s="344"/>
      <c r="F118" s="79"/>
      <c r="G118" s="863"/>
      <c r="H118" s="681"/>
      <c r="I118" s="179" t="s">
        <v>1044</v>
      </c>
      <c r="J118" s="236"/>
      <c r="K118" s="681"/>
      <c r="L118" s="928"/>
      <c r="M118" s="933"/>
      <c r="N118" s="758"/>
      <c r="O118" s="128"/>
      <c r="P118" s="128"/>
    </row>
    <row r="119" s="50" customFormat="1" ht="0.75" hidden="1" customHeight="1">
      <c r="A119" s="142"/>
      <c r="B119" s="142"/>
      <c r="C119" s="394" t="s">
        <v>1052</v>
      </c>
      <c r="D119" s="950"/>
      <c r="E119" s="344"/>
      <c r="F119" s="79"/>
      <c r="G119" s="949"/>
      <c r="H119" s="681"/>
      <c r="I119" s="179"/>
      <c r="J119" s="236"/>
      <c r="K119" s="681"/>
      <c r="L119" s="928"/>
      <c r="M119" s="933"/>
      <c r="N119" s="758"/>
      <c r="O119" s="128"/>
      <c r="P119" s="128"/>
    </row>
    <row r="120" s="50" customFormat="1" ht="18.75" hidden="1" customHeight="1">
      <c r="A120" s="142" t="s">
        <v>233</v>
      </c>
      <c r="B120" s="142" t="s">
        <v>234</v>
      </c>
      <c r="C120" s="394"/>
      <c r="D120" s="950"/>
      <c r="E120" s="344"/>
      <c r="F120" s="79" t="str">
        <f>INDEX(PT_DIFFERENTIATION_VTAR,MATCH(A120,PT_DIFFERENTIATION_VTAR_ID,0))</f>
        <v xml:space="preserve">Тариф на подключение (технологическое присоединение) к централизованной системе холодного водоснабжения</v>
      </c>
      <c r="G120" s="863" t="str">
        <f>INDEX(PT_DIFFERENTIATION_NTAR,MATCH(B120,PT_DIFFERENTIATION_NTAR_ID,0))</f>
        <v/>
      </c>
      <c r="H120" s="416"/>
      <c r="I120" s="939"/>
      <c r="J120" s="940"/>
      <c r="K120" s="432"/>
      <c r="L120" s="416" t="s">
        <v>294</v>
      </c>
      <c r="M120" s="933"/>
      <c r="N120" s="758"/>
      <c r="O120" s="128"/>
      <c r="P120" s="128"/>
    </row>
    <row r="121" s="50" customFormat="1" ht="18.75" hidden="1" customHeight="1">
      <c r="A121" s="142"/>
      <c r="B121" s="142"/>
      <c r="C121" s="394" t="s">
        <v>1045</v>
      </c>
      <c r="D121" s="950"/>
      <c r="E121" s="344"/>
      <c r="F121" s="79"/>
      <c r="G121" s="863"/>
      <c r="H121" s="681"/>
      <c r="I121" s="179" t="s">
        <v>1044</v>
      </c>
      <c r="J121" s="236"/>
      <c r="K121" s="681"/>
      <c r="L121" s="928"/>
      <c r="M121" s="933"/>
      <c r="N121" s="758"/>
      <c r="O121" s="128"/>
      <c r="P121" s="128"/>
    </row>
    <row r="122" s="50" customFormat="1" ht="0.75" hidden="1" customHeight="1">
      <c r="A122" s="142"/>
      <c r="B122" s="142"/>
      <c r="C122" s="394" t="s">
        <v>1052</v>
      </c>
      <c r="D122" s="950"/>
      <c r="E122" s="344"/>
      <c r="F122" s="79"/>
      <c r="G122" s="949"/>
      <c r="H122" s="681"/>
      <c r="I122" s="179"/>
      <c r="J122" s="236"/>
      <c r="K122" s="681"/>
      <c r="L122" s="928"/>
      <c r="M122" s="933"/>
      <c r="N122" s="758"/>
      <c r="O122" s="128"/>
      <c r="P122" s="128"/>
    </row>
    <row r="123" s="50" customFormat="1" ht="18.75" hidden="1" customHeight="1">
      <c r="A123" s="142" t="s">
        <v>238</v>
      </c>
      <c r="B123" s="142" t="s">
        <v>239</v>
      </c>
      <c r="C123" s="394"/>
      <c r="D123" s="950"/>
      <c r="E123" s="344"/>
      <c r="F123" s="79" t="str">
        <f>INDEX(PT_DIFFERENTIATION_VTAR,MATCH(A123,PT_DIFFERENTIATION_VTAR_ID,0))</f>
        <v xml:space="preserve">Тариф на горячую воду (горячее водоснабжение)</v>
      </c>
      <c r="G123" s="863" t="str">
        <f>INDEX(PT_DIFFERENTIATION_NTAR,MATCH(B123,PT_DIFFERENTIATION_NTAR_ID,0))</f>
        <v/>
      </c>
      <c r="H123" s="416"/>
      <c r="I123" s="939"/>
      <c r="J123" s="940"/>
      <c r="K123" s="432"/>
      <c r="L123" s="416" t="s">
        <v>294</v>
      </c>
      <c r="M123" s="933"/>
      <c r="N123" s="758"/>
      <c r="O123" s="128"/>
      <c r="P123" s="128"/>
    </row>
    <row r="124" s="50" customFormat="1" ht="18.75" hidden="1" customHeight="1">
      <c r="A124" s="142"/>
      <c r="B124" s="142"/>
      <c r="C124" s="394" t="s">
        <v>1045</v>
      </c>
      <c r="D124" s="950"/>
      <c r="E124" s="344"/>
      <c r="F124" s="79"/>
      <c r="G124" s="863"/>
      <c r="H124" s="681"/>
      <c r="I124" s="179" t="s">
        <v>1044</v>
      </c>
      <c r="J124" s="236"/>
      <c r="K124" s="681"/>
      <c r="L124" s="928"/>
      <c r="M124" s="933"/>
      <c r="N124" s="758"/>
      <c r="O124" s="128"/>
      <c r="P124" s="128"/>
    </row>
    <row r="125" s="50" customFormat="1" ht="0.75" hidden="1" customHeight="1">
      <c r="A125" s="142"/>
      <c r="B125" s="142"/>
      <c r="C125" s="394" t="s">
        <v>1052</v>
      </c>
      <c r="D125" s="950"/>
      <c r="E125" s="344"/>
      <c r="F125" s="79"/>
      <c r="G125" s="949"/>
      <c r="H125" s="681"/>
      <c r="I125" s="179"/>
      <c r="J125" s="236"/>
      <c r="K125" s="681"/>
      <c r="L125" s="928"/>
      <c r="M125" s="933"/>
      <c r="N125" s="758"/>
      <c r="O125" s="128"/>
      <c r="P125" s="128"/>
    </row>
    <row r="126" s="50" customFormat="1" ht="18.75" hidden="1" customHeight="1">
      <c r="A126" s="142" t="s">
        <v>243</v>
      </c>
      <c r="B126" s="142" t="s">
        <v>244</v>
      </c>
      <c r="C126" s="394"/>
      <c r="D126" s="950"/>
      <c r="E126" s="344"/>
      <c r="F126" s="79" t="str">
        <f>INDEX(PT_DIFFERENTIATION_VTAR,MATCH(A126,PT_DIFFERENTIATION_VTAR_ID,0))</f>
        <v xml:space="preserve">Тариф на транспортировку горячей воды</v>
      </c>
      <c r="G126" s="863" t="str">
        <f>INDEX(PT_DIFFERENTIATION_NTAR,MATCH(B126,PT_DIFFERENTIATION_NTAR_ID,0))</f>
        <v/>
      </c>
      <c r="H126" s="416"/>
      <c r="I126" s="939"/>
      <c r="J126" s="940"/>
      <c r="K126" s="432"/>
      <c r="L126" s="416" t="s">
        <v>294</v>
      </c>
      <c r="M126" s="933"/>
      <c r="N126" s="758"/>
      <c r="O126" s="128"/>
      <c r="P126" s="128"/>
    </row>
    <row r="127" s="50" customFormat="1" ht="18.75" hidden="1" customHeight="1">
      <c r="A127" s="142"/>
      <c r="B127" s="142"/>
      <c r="C127" s="394" t="s">
        <v>1045</v>
      </c>
      <c r="D127" s="950"/>
      <c r="E127" s="344"/>
      <c r="F127" s="79"/>
      <c r="G127" s="863"/>
      <c r="H127" s="681"/>
      <c r="I127" s="179" t="s">
        <v>1044</v>
      </c>
      <c r="J127" s="236"/>
      <c r="K127" s="681"/>
      <c r="L127" s="928"/>
      <c r="M127" s="933"/>
      <c r="N127" s="758"/>
      <c r="O127" s="128"/>
      <c r="P127" s="128"/>
    </row>
    <row r="128" s="50" customFormat="1" ht="0.75" hidden="1" customHeight="1">
      <c r="A128" s="142"/>
      <c r="B128" s="142"/>
      <c r="C128" s="394" t="s">
        <v>1052</v>
      </c>
      <c r="D128" s="950"/>
      <c r="E128" s="344"/>
      <c r="F128" s="79"/>
      <c r="G128" s="949"/>
      <c r="H128" s="681"/>
      <c r="I128" s="179"/>
      <c r="J128" s="236"/>
      <c r="K128" s="681"/>
      <c r="L128" s="928"/>
      <c r="M128" s="933"/>
      <c r="N128" s="758"/>
      <c r="O128" s="128"/>
      <c r="P128" s="128"/>
    </row>
    <row r="129" s="50" customFormat="1" ht="18.75" hidden="1" customHeight="1">
      <c r="A129" s="142" t="s">
        <v>248</v>
      </c>
      <c r="B129" s="142" t="s">
        <v>249</v>
      </c>
      <c r="C129" s="394"/>
      <c r="D129" s="950"/>
      <c r="E129" s="344"/>
      <c r="F129" s="79" t="str">
        <f>INDEX(PT_DIFFERENTIATION_VTAR,MATCH(A129,PT_DIFFERENTIATION_VTAR_ID,0))</f>
        <v xml:space="preserve">Тариф на подключение (технологическое присоединение) к централизованной системе горячего водоснабжения</v>
      </c>
      <c r="G129" s="863" t="str">
        <f>INDEX(PT_DIFFERENTIATION_NTAR,MATCH(B129,PT_DIFFERENTIATION_NTAR_ID,0))</f>
        <v/>
      </c>
      <c r="H129" s="416"/>
      <c r="I129" s="939"/>
      <c r="J129" s="940"/>
      <c r="K129" s="432"/>
      <c r="L129" s="416" t="s">
        <v>294</v>
      </c>
      <c r="M129" s="933"/>
      <c r="N129" s="758"/>
      <c r="O129" s="128"/>
      <c r="P129" s="128"/>
    </row>
    <row r="130" s="50" customFormat="1" ht="18.75" hidden="1" customHeight="1">
      <c r="A130" s="142"/>
      <c r="B130" s="142"/>
      <c r="C130" s="394" t="s">
        <v>1045</v>
      </c>
      <c r="D130" s="950"/>
      <c r="E130" s="344"/>
      <c r="F130" s="79"/>
      <c r="G130" s="863"/>
      <c r="H130" s="681"/>
      <c r="I130" s="179" t="s">
        <v>1044</v>
      </c>
      <c r="J130" s="236"/>
      <c r="K130" s="681"/>
      <c r="L130" s="928"/>
      <c r="M130" s="933"/>
      <c r="N130" s="758"/>
      <c r="O130" s="128"/>
      <c r="P130" s="128"/>
    </row>
    <row r="131" s="50" customFormat="1" ht="0.75" hidden="1" customHeight="1">
      <c r="A131" s="142"/>
      <c r="B131" s="142"/>
      <c r="C131" s="394" t="s">
        <v>1052</v>
      </c>
      <c r="D131" s="950"/>
      <c r="E131" s="344"/>
      <c r="F131" s="79"/>
      <c r="G131" s="949"/>
      <c r="H131" s="681"/>
      <c r="I131" s="179"/>
      <c r="J131" s="236"/>
      <c r="K131" s="681"/>
      <c r="L131" s="928"/>
      <c r="M131" s="933"/>
      <c r="N131" s="758"/>
      <c r="O131" s="128"/>
      <c r="P131" s="128"/>
    </row>
    <row r="132" s="50" customFormat="1" ht="18.75" hidden="1" customHeight="1">
      <c r="A132" s="142" t="s">
        <v>253</v>
      </c>
      <c r="B132" s="142" t="s">
        <v>254</v>
      </c>
      <c r="C132" s="394"/>
      <c r="D132" s="950"/>
      <c r="E132" s="344"/>
      <c r="F132" s="79" t="str">
        <f>INDEX(PT_DIFFERENTIATION_VTAR,MATCH(A132,PT_DIFFERENTIATION_VTAR_ID,0))</f>
        <v xml:space="preserve">Тариф на водоотведение</v>
      </c>
      <c r="G132" s="863" t="str">
        <f>INDEX(PT_DIFFERENTIATION_NTAR,MATCH(B132,PT_DIFFERENTIATION_NTAR_ID,0))</f>
        <v/>
      </c>
      <c r="H132" s="416"/>
      <c r="I132" s="939"/>
      <c r="J132" s="940"/>
      <c r="K132" s="432"/>
      <c r="L132" s="416" t="s">
        <v>294</v>
      </c>
      <c r="M132" s="933"/>
      <c r="N132" s="758"/>
      <c r="O132" s="128"/>
      <c r="P132" s="128"/>
    </row>
    <row r="133" s="50" customFormat="1" ht="18.75" hidden="1" customHeight="1">
      <c r="A133" s="142"/>
      <c r="B133" s="142"/>
      <c r="C133" s="394" t="s">
        <v>1045</v>
      </c>
      <c r="D133" s="950"/>
      <c r="E133" s="344"/>
      <c r="F133" s="79"/>
      <c r="G133" s="863"/>
      <c r="H133" s="681"/>
      <c r="I133" s="179" t="s">
        <v>1044</v>
      </c>
      <c r="J133" s="236"/>
      <c r="K133" s="681"/>
      <c r="L133" s="928"/>
      <c r="M133" s="933"/>
      <c r="N133" s="758"/>
      <c r="O133" s="128"/>
      <c r="P133" s="128"/>
    </row>
    <row r="134" s="50" customFormat="1" ht="0.75" hidden="1" customHeight="1">
      <c r="A134" s="142"/>
      <c r="B134" s="142"/>
      <c r="C134" s="394" t="s">
        <v>1052</v>
      </c>
      <c r="D134" s="950"/>
      <c r="E134" s="344"/>
      <c r="F134" s="79"/>
      <c r="G134" s="949"/>
      <c r="H134" s="681"/>
      <c r="I134" s="179"/>
      <c r="J134" s="236"/>
      <c r="K134" s="681"/>
      <c r="L134" s="928"/>
      <c r="M134" s="933"/>
      <c r="N134" s="758"/>
      <c r="O134" s="128"/>
      <c r="P134" s="128"/>
    </row>
    <row r="135" s="50" customFormat="1" ht="18.75" hidden="1" customHeight="1">
      <c r="A135" s="142" t="s">
        <v>258</v>
      </c>
      <c r="B135" s="142" t="s">
        <v>259</v>
      </c>
      <c r="C135" s="394"/>
      <c r="D135" s="950"/>
      <c r="E135" s="344"/>
      <c r="F135" s="79" t="str">
        <f>INDEX(PT_DIFFERENTIATION_VTAR,MATCH(A135,PT_DIFFERENTIATION_VTAR_ID,0))</f>
        <v xml:space="preserve">Тариф на транспортировку сточных вод</v>
      </c>
      <c r="G135" s="863" t="str">
        <f>INDEX(PT_DIFFERENTIATION_NTAR,MATCH(B135,PT_DIFFERENTIATION_NTAR_ID,0))</f>
        <v/>
      </c>
      <c r="H135" s="416"/>
      <c r="I135" s="939"/>
      <c r="J135" s="940"/>
      <c r="K135" s="432"/>
      <c r="L135" s="416" t="s">
        <v>294</v>
      </c>
      <c r="M135" s="933"/>
      <c r="N135" s="758"/>
      <c r="O135" s="128"/>
      <c r="P135" s="128"/>
    </row>
    <row r="136" s="50" customFormat="1" ht="18.75" hidden="1" customHeight="1">
      <c r="A136" s="142"/>
      <c r="B136" s="142"/>
      <c r="C136" s="394" t="s">
        <v>1045</v>
      </c>
      <c r="D136" s="950"/>
      <c r="E136" s="344"/>
      <c r="F136" s="79"/>
      <c r="G136" s="863"/>
      <c r="H136" s="681"/>
      <c r="I136" s="179" t="s">
        <v>1044</v>
      </c>
      <c r="J136" s="236"/>
      <c r="K136" s="681"/>
      <c r="L136" s="928"/>
      <c r="M136" s="933"/>
      <c r="N136" s="758"/>
      <c r="O136" s="128"/>
      <c r="P136" s="128"/>
    </row>
    <row r="137" s="50" customFormat="1" ht="0.75" hidden="1" customHeight="1">
      <c r="A137" s="142"/>
      <c r="B137" s="142"/>
      <c r="C137" s="394" t="s">
        <v>1052</v>
      </c>
      <c r="D137" s="950"/>
      <c r="E137" s="344"/>
      <c r="F137" s="79"/>
      <c r="G137" s="949"/>
      <c r="H137" s="681"/>
      <c r="I137" s="179"/>
      <c r="J137" s="236"/>
      <c r="K137" s="681"/>
      <c r="L137" s="928"/>
      <c r="M137" s="933"/>
      <c r="N137" s="758"/>
      <c r="O137" s="128"/>
      <c r="P137" s="128"/>
    </row>
    <row r="138" s="50" customFormat="1" ht="18.75" hidden="1" customHeight="1">
      <c r="A138" s="142" t="s">
        <v>263</v>
      </c>
      <c r="B138" s="142" t="s">
        <v>264</v>
      </c>
      <c r="C138" s="394"/>
      <c r="D138" s="950"/>
      <c r="E138" s="344"/>
      <c r="F138" s="79" t="str">
        <f>INDEX(PT_DIFFERENTIATION_VTAR,MATCH(A138,PT_DIFFERENTIATION_VTAR_ID,0))</f>
        <v xml:space="preserve">Тариф на подключение (технологическое присоединение) к централизованной системе водоотведения</v>
      </c>
      <c r="G138" s="863" t="str">
        <f>INDEX(PT_DIFFERENTIATION_NTAR,MATCH(B138,PT_DIFFERENTIATION_NTAR_ID,0))</f>
        <v/>
      </c>
      <c r="H138" s="416"/>
      <c r="I138" s="939"/>
      <c r="J138" s="940"/>
      <c r="K138" s="432"/>
      <c r="L138" s="416" t="s">
        <v>294</v>
      </c>
      <c r="M138" s="933"/>
      <c r="N138" s="758"/>
      <c r="O138" s="128"/>
      <c r="P138" s="128"/>
    </row>
    <row r="139" s="50" customFormat="1" ht="18.75" hidden="1" customHeight="1">
      <c r="A139" s="142"/>
      <c r="B139" s="142"/>
      <c r="C139" s="394" t="s">
        <v>1045</v>
      </c>
      <c r="D139" s="950"/>
      <c r="E139" s="344"/>
      <c r="F139" s="79"/>
      <c r="G139" s="863"/>
      <c r="H139" s="681"/>
      <c r="I139" s="179" t="s">
        <v>1044</v>
      </c>
      <c r="J139" s="236"/>
      <c r="K139" s="681"/>
      <c r="L139" s="928"/>
      <c r="M139" s="933"/>
      <c r="N139" s="758"/>
      <c r="O139" s="128"/>
      <c r="P139" s="128"/>
    </row>
    <row r="140" s="50" customFormat="1" ht="0.75" customHeight="1">
      <c r="A140" s="142"/>
      <c r="B140" s="142"/>
      <c r="C140" s="394" t="s">
        <v>1052</v>
      </c>
      <c r="D140" s="950"/>
      <c r="E140" s="344"/>
      <c r="F140" s="79"/>
      <c r="G140" s="949"/>
      <c r="H140" s="681"/>
      <c r="I140" s="179"/>
      <c r="J140" s="236"/>
      <c r="K140" s="681"/>
      <c r="L140" s="928"/>
      <c r="M140" s="933"/>
      <c r="N140" s="758"/>
      <c r="O140" s="128"/>
      <c r="P140" s="128"/>
    </row>
    <row r="141" ht="18.75" customHeight="1">
      <c r="A141" s="142"/>
      <c r="B141" s="142"/>
      <c r="D141" s="537"/>
      <c r="E141" s="344" t="s">
        <v>88</v>
      </c>
      <c r="F141" s="9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 xml:space="preserve">Годовой объем полезного отпуска тепловой энергии (теплоносителя)</v>
      </c>
      <c r="G141" s="937"/>
      <c r="H141" s="937"/>
      <c r="I141" s="937"/>
      <c r="J141" s="937"/>
      <c r="K141" s="937"/>
      <c r="L141" s="937"/>
      <c r="M141" s="918"/>
      <c r="N141" s="758"/>
    </row>
    <row r="142" s="50" customFormat="1" ht="60.75" hidden="1" customHeight="1">
      <c r="A142" s="142" t="s">
        <v>157</v>
      </c>
      <c r="B142" s="142" t="s">
        <v>158</v>
      </c>
      <c r="C142" s="394"/>
      <c r="D142" s="950"/>
      <c r="E142" s="344"/>
      <c r="F142" s="79" t="str">
        <f>INDEX(PT_DIFFERENTIATION_VTAR,MATCH(A142,PT_DIFFERENTIATION_VTAR_ID,0))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863" t="str">
        <f>INDEX(PT_DIFFERENTIATION_NTAR,MATCH(B142,PT_DIFFERENTIATION_NTAR_ID,0))</f>
        <v/>
      </c>
      <c r="H142" s="416"/>
      <c r="I142" s="939"/>
      <c r="J142" s="940"/>
      <c r="K142" s="432"/>
      <c r="L142" s="416" t="s">
        <v>294</v>
      </c>
      <c r="M142" s="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758"/>
      <c r="O142" s="128"/>
      <c r="P142" s="128"/>
    </row>
    <row r="143" s="50" customFormat="1" ht="18.75" hidden="1" customHeight="1">
      <c r="A143" s="142"/>
      <c r="B143" s="142"/>
      <c r="C143" s="394" t="s">
        <v>1045</v>
      </c>
      <c r="D143" s="950"/>
      <c r="E143" s="344"/>
      <c r="F143" s="79"/>
      <c r="G143" s="863"/>
      <c r="H143" s="681"/>
      <c r="I143" s="179" t="s">
        <v>1044</v>
      </c>
      <c r="J143" s="236"/>
      <c r="K143" s="681"/>
      <c r="L143" s="928"/>
      <c r="M143" s="286"/>
      <c r="N143" s="758"/>
      <c r="O143" s="128"/>
      <c r="P143" s="128"/>
    </row>
    <row r="144" s="50" customFormat="1" ht="0.75" hidden="1" customHeight="1">
      <c r="A144" s="142"/>
      <c r="B144" s="142"/>
      <c r="C144" s="394" t="s">
        <v>1052</v>
      </c>
      <c r="D144" s="950"/>
      <c r="E144" s="344"/>
      <c r="F144" s="79"/>
      <c r="G144" s="949"/>
      <c r="H144" s="681"/>
      <c r="I144" s="179"/>
      <c r="J144" s="236"/>
      <c r="K144" s="681"/>
      <c r="L144" s="928"/>
      <c r="M144" s="286"/>
      <c r="N144" s="758"/>
      <c r="O144" s="128"/>
      <c r="P144" s="128"/>
    </row>
    <row r="145" s="50" customFormat="1" ht="45" hidden="1" customHeight="1">
      <c r="A145" s="142" t="s">
        <v>163</v>
      </c>
      <c r="B145" s="142" t="s">
        <v>164</v>
      </c>
      <c r="C145" s="394"/>
      <c r="D145" s="950"/>
      <c r="E145" s="344"/>
      <c r="F145" s="79" t="str">
        <f>INDEX(PT_DIFFERENTIATION_VTAR,MATCH(A145,PT_DIFFERENTIATION_VTAR_ID,0))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145" s="863" t="str">
        <f>INDEX(PT_DIFFERENTIATION_NTAR,MATCH(B145,PT_DIFFERENTIATION_NTAR_ID,0))</f>
        <v/>
      </c>
      <c r="H145" s="416"/>
      <c r="I145" s="939"/>
      <c r="J145" s="940"/>
      <c r="K145" s="432"/>
      <c r="L145" s="416" t="s">
        <v>294</v>
      </c>
      <c r="M145" s="288"/>
      <c r="N145" s="758"/>
      <c r="O145" s="128"/>
      <c r="P145" s="128"/>
    </row>
    <row r="146" s="50" customFormat="1" ht="18.75" hidden="1" customHeight="1">
      <c r="A146" s="142"/>
      <c r="B146" s="142"/>
      <c r="C146" s="394" t="s">
        <v>1045</v>
      </c>
      <c r="D146" s="950"/>
      <c r="E146" s="344"/>
      <c r="F146" s="79"/>
      <c r="G146" s="863"/>
      <c r="H146" s="681"/>
      <c r="I146" s="179" t="s">
        <v>1044</v>
      </c>
      <c r="J146" s="236"/>
      <c r="K146" s="681"/>
      <c r="L146" s="928"/>
      <c r="M146" s="286"/>
      <c r="N146" s="758"/>
      <c r="O146" s="128"/>
      <c r="P146" s="128"/>
    </row>
    <row r="147" s="50" customFormat="1" ht="0.75" hidden="1" customHeight="1">
      <c r="A147" s="142"/>
      <c r="B147" s="142"/>
      <c r="C147" s="394" t="s">
        <v>1052</v>
      </c>
      <c r="D147" s="950"/>
      <c r="E147" s="344"/>
      <c r="F147" s="79"/>
      <c r="G147" s="949"/>
      <c r="H147" s="681"/>
      <c r="I147" s="179"/>
      <c r="J147" s="236"/>
      <c r="K147" s="681"/>
      <c r="L147" s="928"/>
      <c r="M147" s="933"/>
      <c r="N147" s="758"/>
      <c r="O147" s="128"/>
      <c r="P147" s="128"/>
    </row>
    <row r="148" s="50" customFormat="1" ht="45" hidden="1" customHeight="1">
      <c r="A148" s="142" t="s">
        <v>169</v>
      </c>
      <c r="B148" s="142" t="s">
        <v>170</v>
      </c>
      <c r="C148" s="394"/>
      <c r="D148" s="950"/>
      <c r="E148" s="344"/>
      <c r="F148" s="79" t="str">
        <f>INDEX(PT_DIFFERENTIATION_VTAR,MATCH(A148,PT_DIFFERENTIATION_VTAR_ID,0))</f>
        <v xml:space="preserve">Тарифы на теплоноситель, поставляемый теплоснабжающими организациями потребителям, другим теплоснабжающим организациям</v>
      </c>
      <c r="G148" s="863" t="str">
        <f>INDEX(PT_DIFFERENTIATION_NTAR,MATCH(B148,PT_DIFFERENTIATION_NTAR_ID,0))</f>
        <v/>
      </c>
      <c r="H148" s="416"/>
      <c r="I148" s="939"/>
      <c r="J148" s="940"/>
      <c r="K148" s="432"/>
      <c r="L148" s="416" t="s">
        <v>294</v>
      </c>
      <c r="M148" s="933"/>
      <c r="N148" s="758"/>
      <c r="O148" s="128"/>
      <c r="P148" s="128"/>
    </row>
    <row r="149" s="50" customFormat="1" ht="18.75" hidden="1" customHeight="1">
      <c r="A149" s="142"/>
      <c r="B149" s="142"/>
      <c r="C149" s="394" t="s">
        <v>1045</v>
      </c>
      <c r="D149" s="950"/>
      <c r="E149" s="344"/>
      <c r="F149" s="79"/>
      <c r="G149" s="863"/>
      <c r="H149" s="681"/>
      <c r="I149" s="179" t="s">
        <v>1044</v>
      </c>
      <c r="J149" s="236"/>
      <c r="K149" s="681"/>
      <c r="L149" s="928"/>
      <c r="M149" s="933"/>
      <c r="N149" s="758"/>
      <c r="O149" s="128"/>
      <c r="P149" s="128"/>
    </row>
    <row r="150" s="50" customFormat="1" ht="0.75" hidden="1" customHeight="1">
      <c r="A150" s="142"/>
      <c r="B150" s="142"/>
      <c r="C150" s="394" t="s">
        <v>1052</v>
      </c>
      <c r="D150" s="950"/>
      <c r="E150" s="344"/>
      <c r="F150" s="79"/>
      <c r="G150" s="949"/>
      <c r="H150" s="681"/>
      <c r="I150" s="179"/>
      <c r="J150" s="236"/>
      <c r="K150" s="681"/>
      <c r="L150" s="928"/>
      <c r="M150" s="933"/>
      <c r="N150" s="758"/>
      <c r="O150" s="128"/>
      <c r="P150" s="128"/>
    </row>
    <row r="151" s="50" customFormat="1" ht="45" hidden="1" customHeight="1">
      <c r="A151" s="142" t="s">
        <v>175</v>
      </c>
      <c r="B151" s="142" t="s">
        <v>176</v>
      </c>
      <c r="C151" s="394"/>
      <c r="D151" s="950"/>
      <c r="E151" s="344"/>
      <c r="F151" s="79" t="str">
        <f>INDEX(PT_DIFFERENTIATION_VTAR,MATCH(A151,PT_DIFFERENTIATION_VTAR_ID,0))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863" t="str">
        <f>INDEX(PT_DIFFERENTIATION_NTAR,MATCH(B151,PT_DIFFERENTIATION_NTAR_ID,0))</f>
        <v/>
      </c>
      <c r="H151" s="416"/>
      <c r="I151" s="939"/>
      <c r="J151" s="940"/>
      <c r="K151" s="432"/>
      <c r="L151" s="416" t="s">
        <v>294</v>
      </c>
      <c r="M151" s="933"/>
      <c r="N151" s="758"/>
      <c r="O151" s="128"/>
      <c r="P151" s="128"/>
    </row>
    <row r="152" s="50" customFormat="1" ht="18.75" hidden="1" customHeight="1">
      <c r="A152" s="142"/>
      <c r="B152" s="142"/>
      <c r="C152" s="394" t="s">
        <v>1045</v>
      </c>
      <c r="D152" s="950"/>
      <c r="E152" s="344"/>
      <c r="F152" s="79"/>
      <c r="G152" s="863"/>
      <c r="H152" s="681"/>
      <c r="I152" s="179" t="s">
        <v>1044</v>
      </c>
      <c r="J152" s="236"/>
      <c r="K152" s="681"/>
      <c r="L152" s="928"/>
      <c r="M152" s="933"/>
      <c r="N152" s="758"/>
      <c r="O152" s="128"/>
      <c r="P152" s="128"/>
    </row>
    <row r="153" s="50" customFormat="1" ht="0.75" hidden="1" customHeight="1">
      <c r="A153" s="142"/>
      <c r="B153" s="142"/>
      <c r="C153" s="394" t="s">
        <v>1052</v>
      </c>
      <c r="D153" s="950"/>
      <c r="E153" s="344"/>
      <c r="F153" s="79"/>
      <c r="G153" s="949"/>
      <c r="H153" s="681"/>
      <c r="I153" s="179"/>
      <c r="J153" s="236"/>
      <c r="K153" s="681"/>
      <c r="L153" s="928"/>
      <c r="M153" s="933"/>
      <c r="N153" s="758"/>
      <c r="O153" s="128"/>
      <c r="P153" s="128"/>
    </row>
    <row r="154" s="50" customFormat="1" ht="18.75" hidden="1" customHeight="1">
      <c r="A154" s="142" t="s">
        <v>181</v>
      </c>
      <c r="B154" s="142" t="s">
        <v>182</v>
      </c>
      <c r="C154" s="394"/>
      <c r="D154" s="950"/>
      <c r="E154" s="344"/>
      <c r="F154" s="79" t="str">
        <f>INDEX(PT_DIFFERENTIATION_VTAR,MATCH(A154,PT_DIFFERENTIATION_VTAR_ID,0))</f>
        <v xml:space="preserve">Тарифы на услуги по передаче тепловой энергии</v>
      </c>
      <c r="G154" s="863" t="str">
        <f>INDEX(PT_DIFFERENTIATION_NTAR,MATCH(B154,PT_DIFFERENTIATION_NTAR_ID,0))</f>
        <v/>
      </c>
      <c r="H154" s="416"/>
      <c r="I154" s="939"/>
      <c r="J154" s="940"/>
      <c r="K154" s="432"/>
      <c r="L154" s="416" t="s">
        <v>294</v>
      </c>
      <c r="M154" s="933"/>
      <c r="N154" s="758"/>
      <c r="O154" s="128"/>
      <c r="P154" s="128"/>
    </row>
    <row r="155" s="50" customFormat="1" ht="18.75" hidden="1" customHeight="1">
      <c r="A155" s="142"/>
      <c r="B155" s="142"/>
      <c r="C155" s="394" t="s">
        <v>1045</v>
      </c>
      <c r="D155" s="950"/>
      <c r="E155" s="344"/>
      <c r="F155" s="79"/>
      <c r="G155" s="863"/>
      <c r="H155" s="681"/>
      <c r="I155" s="179" t="s">
        <v>1044</v>
      </c>
      <c r="J155" s="236"/>
      <c r="K155" s="681"/>
      <c r="L155" s="928"/>
      <c r="M155" s="933"/>
      <c r="N155" s="758"/>
      <c r="O155" s="128"/>
      <c r="P155" s="128"/>
    </row>
    <row r="156" s="50" customFormat="1" ht="0.75" hidden="1" customHeight="1">
      <c r="A156" s="142"/>
      <c r="B156" s="142"/>
      <c r="C156" s="394" t="s">
        <v>1052</v>
      </c>
      <c r="D156" s="950"/>
      <c r="E156" s="344"/>
      <c r="F156" s="79"/>
      <c r="G156" s="949"/>
      <c r="H156" s="681"/>
      <c r="I156" s="179"/>
      <c r="J156" s="236"/>
      <c r="K156" s="681"/>
      <c r="L156" s="928"/>
      <c r="M156" s="933"/>
      <c r="N156" s="758"/>
      <c r="O156" s="128"/>
      <c r="P156" s="128"/>
    </row>
    <row r="157" s="50" customFormat="1" ht="18.75" hidden="1" customHeight="1">
      <c r="A157" s="142" t="s">
        <v>187</v>
      </c>
      <c r="B157" s="142" t="s">
        <v>188</v>
      </c>
      <c r="C157" s="394"/>
      <c r="D157" s="950"/>
      <c r="E157" s="344"/>
      <c r="F157" s="79" t="str">
        <f>INDEX(PT_DIFFERENTIATION_VTAR,MATCH(A157,PT_DIFFERENTIATION_VTAR_ID,0))</f>
        <v xml:space="preserve">Тарифы на услуги по передаче теплоносителя</v>
      </c>
      <c r="G157" s="863" t="str">
        <f>INDEX(PT_DIFFERENTIATION_NTAR,MATCH(B157,PT_DIFFERENTIATION_NTAR_ID,0))</f>
        <v/>
      </c>
      <c r="H157" s="416"/>
      <c r="I157" s="939"/>
      <c r="J157" s="940"/>
      <c r="K157" s="432"/>
      <c r="L157" s="416" t="s">
        <v>294</v>
      </c>
      <c r="M157" s="933"/>
      <c r="N157" s="758"/>
      <c r="O157" s="128"/>
      <c r="P157" s="128"/>
    </row>
    <row r="158" s="50" customFormat="1" ht="18.75" hidden="1" customHeight="1">
      <c r="A158" s="142"/>
      <c r="B158" s="142"/>
      <c r="C158" s="394" t="s">
        <v>1045</v>
      </c>
      <c r="D158" s="950"/>
      <c r="E158" s="344"/>
      <c r="F158" s="79"/>
      <c r="G158" s="863"/>
      <c r="H158" s="681"/>
      <c r="I158" s="179" t="s">
        <v>1044</v>
      </c>
      <c r="J158" s="236"/>
      <c r="K158" s="681"/>
      <c r="L158" s="928"/>
      <c r="M158" s="933"/>
      <c r="N158" s="758"/>
      <c r="O158" s="128"/>
      <c r="P158" s="128"/>
    </row>
    <row r="159" s="50" customFormat="1" ht="0.75" hidden="1" customHeight="1">
      <c r="A159" s="142"/>
      <c r="B159" s="142"/>
      <c r="C159" s="394" t="s">
        <v>1052</v>
      </c>
      <c r="D159" s="950"/>
      <c r="E159" s="344"/>
      <c r="F159" s="79"/>
      <c r="G159" s="949"/>
      <c r="H159" s="681"/>
      <c r="I159" s="179"/>
      <c r="J159" s="236"/>
      <c r="K159" s="681"/>
      <c r="L159" s="928"/>
      <c r="M159" s="933"/>
      <c r="N159" s="758"/>
      <c r="O159" s="128"/>
      <c r="P159" s="128"/>
    </row>
    <row r="160" s="50" customFormat="1" ht="18.75" hidden="1" customHeight="1">
      <c r="A160" s="142" t="s">
        <v>193</v>
      </c>
      <c r="B160" s="142" t="s">
        <v>194</v>
      </c>
      <c r="C160" s="394"/>
      <c r="D160" s="950"/>
      <c r="E160" s="344"/>
      <c r="F160" s="79" t="str">
        <f>INDEX(PT_DIFFERENTIATION_VTAR,MATCH(A160,PT_DIFFERENTIATION_VTAR_ID,0))</f>
        <v xml:space="preserve">Плата за услуги по поддержанию резервной тепловой мощности при отсутствии потребления тепловой энергии</v>
      </c>
      <c r="G160" s="863" t="str">
        <f>INDEX(PT_DIFFERENTIATION_NTAR,MATCH(B160,PT_DIFFERENTIATION_NTAR_ID,0))</f>
        <v/>
      </c>
      <c r="H160" s="416"/>
      <c r="I160" s="939"/>
      <c r="J160" s="940"/>
      <c r="K160" s="432"/>
      <c r="L160" s="416" t="s">
        <v>294</v>
      </c>
      <c r="M160" s="933"/>
      <c r="N160" s="758"/>
      <c r="O160" s="128"/>
      <c r="P160" s="128"/>
    </row>
    <row r="161" s="50" customFormat="1" ht="18.75" hidden="1" customHeight="1">
      <c r="A161" s="142"/>
      <c r="B161" s="142"/>
      <c r="C161" s="394" t="s">
        <v>1045</v>
      </c>
      <c r="D161" s="950"/>
      <c r="E161" s="344"/>
      <c r="F161" s="79"/>
      <c r="G161" s="863"/>
      <c r="H161" s="681"/>
      <c r="I161" s="179" t="s">
        <v>1044</v>
      </c>
      <c r="J161" s="236"/>
      <c r="K161" s="681"/>
      <c r="L161" s="928"/>
      <c r="M161" s="933"/>
      <c r="N161" s="758"/>
      <c r="O161" s="128"/>
      <c r="P161" s="128"/>
    </row>
    <row r="162" s="50" customFormat="1" ht="0.75" hidden="1" customHeight="1">
      <c r="A162" s="142"/>
      <c r="B162" s="142"/>
      <c r="C162" s="394" t="s">
        <v>1052</v>
      </c>
      <c r="D162" s="950"/>
      <c r="E162" s="344"/>
      <c r="F162" s="79"/>
      <c r="G162" s="949"/>
      <c r="H162" s="681"/>
      <c r="I162" s="179"/>
      <c r="J162" s="236"/>
      <c r="K162" s="681"/>
      <c r="L162" s="928"/>
      <c r="M162" s="933"/>
      <c r="N162" s="758"/>
      <c r="O162" s="128"/>
      <c r="P162" s="128"/>
    </row>
    <row r="163" s="50" customFormat="1" ht="18.75" hidden="1" customHeight="1">
      <c r="A163" s="142" t="s">
        <v>199</v>
      </c>
      <c r="B163" s="142" t="s">
        <v>200</v>
      </c>
      <c r="C163" s="394"/>
      <c r="D163" s="950"/>
      <c r="E163" s="344"/>
      <c r="F163" s="79" t="str">
        <f>INDEX(PT_DIFFERENTIATION_VTAR,MATCH(A163,PT_DIFFERENTIATION_VTAR_ID,0))</f>
        <v xml:space="preserve">Плата за подключение (технологическое присоединение) к системе теплоснабжения</v>
      </c>
      <c r="G163" s="863" t="str">
        <f>INDEX(PT_DIFFERENTIATION_NTAR,MATCH(B163,PT_DIFFERENTIATION_NTAR_ID,0))</f>
        <v/>
      </c>
      <c r="H163" s="416"/>
      <c r="I163" s="939"/>
      <c r="J163" s="940"/>
      <c r="K163" s="432"/>
      <c r="L163" s="416" t="s">
        <v>294</v>
      </c>
      <c r="M163" s="933"/>
      <c r="N163" s="758"/>
      <c r="O163" s="128"/>
      <c r="P163" s="128"/>
    </row>
    <row r="164" s="50" customFormat="1" ht="18.75" hidden="1" customHeight="1">
      <c r="A164" s="142"/>
      <c r="B164" s="142"/>
      <c r="C164" s="394" t="s">
        <v>1045</v>
      </c>
      <c r="D164" s="950"/>
      <c r="E164" s="344"/>
      <c r="F164" s="79"/>
      <c r="G164" s="863"/>
      <c r="H164" s="681"/>
      <c r="I164" s="179" t="s">
        <v>1044</v>
      </c>
      <c r="J164" s="236"/>
      <c r="K164" s="681"/>
      <c r="L164" s="928"/>
      <c r="M164" s="933"/>
      <c r="N164" s="758"/>
      <c r="O164" s="128"/>
      <c r="P164" s="128"/>
    </row>
    <row r="165" s="50" customFormat="1" ht="0.75" hidden="1" customHeight="1">
      <c r="A165" s="142"/>
      <c r="B165" s="142"/>
      <c r="C165" s="394" t="s">
        <v>1052</v>
      </c>
      <c r="D165" s="950"/>
      <c r="E165" s="344"/>
      <c r="F165" s="79"/>
      <c r="G165" s="949"/>
      <c r="H165" s="681"/>
      <c r="I165" s="179"/>
      <c r="J165" s="236"/>
      <c r="K165" s="681"/>
      <c r="L165" s="928"/>
      <c r="M165" s="933"/>
      <c r="N165" s="758"/>
      <c r="O165" s="128"/>
      <c r="P165" s="128"/>
    </row>
    <row r="166" s="50" customFormat="1" ht="18.75" hidden="1" customHeight="1">
      <c r="A166" s="142" t="s">
        <v>213</v>
      </c>
      <c r="B166" s="142" t="s">
        <v>214</v>
      </c>
      <c r="C166" s="394"/>
      <c r="D166" s="950"/>
      <c r="E166" s="344"/>
      <c r="F166" s="79" t="str">
        <f>INDEX(PT_DIFFERENTIATION_VTAR,MATCH(A166,PT_DIFFERENTIATION_VTAR_ID,0))</f>
        <v xml:space="preserve">Тариф на питьевую воду (питьевое водоснабжение)</v>
      </c>
      <c r="G166" s="863" t="str">
        <f>INDEX(PT_DIFFERENTIATION_NTAR,MATCH(B166,PT_DIFFERENTIATION_NTAR_ID,0))</f>
        <v/>
      </c>
      <c r="H166" s="416"/>
      <c r="I166" s="939"/>
      <c r="J166" s="940"/>
      <c r="K166" s="432"/>
      <c r="L166" s="416" t="s">
        <v>294</v>
      </c>
      <c r="M166" s="933"/>
      <c r="N166" s="758"/>
      <c r="O166" s="128"/>
      <c r="P166" s="128"/>
    </row>
    <row r="167" s="50" customFormat="1" ht="18.75" hidden="1" customHeight="1">
      <c r="A167" s="142"/>
      <c r="B167" s="142"/>
      <c r="C167" s="394" t="s">
        <v>1045</v>
      </c>
      <c r="D167" s="950"/>
      <c r="E167" s="344"/>
      <c r="F167" s="79"/>
      <c r="G167" s="863"/>
      <c r="H167" s="681"/>
      <c r="I167" s="179" t="s">
        <v>1044</v>
      </c>
      <c r="J167" s="236"/>
      <c r="K167" s="681"/>
      <c r="L167" s="928"/>
      <c r="M167" s="933"/>
      <c r="N167" s="758"/>
      <c r="O167" s="128"/>
      <c r="P167" s="128"/>
    </row>
    <row r="168" s="50" customFormat="1" ht="0.75" hidden="1" customHeight="1">
      <c r="A168" s="142"/>
      <c r="B168" s="142"/>
      <c r="C168" s="394" t="s">
        <v>1052</v>
      </c>
      <c r="D168" s="950"/>
      <c r="E168" s="344"/>
      <c r="F168" s="79"/>
      <c r="G168" s="949"/>
      <c r="H168" s="681"/>
      <c r="I168" s="179"/>
      <c r="J168" s="236"/>
      <c r="K168" s="681"/>
      <c r="L168" s="928"/>
      <c r="M168" s="933"/>
      <c r="N168" s="758"/>
      <c r="O168" s="128"/>
      <c r="P168" s="128"/>
    </row>
    <row r="169" s="50" customFormat="1" ht="18.75" hidden="1" customHeight="1">
      <c r="A169" s="142" t="s">
        <v>218</v>
      </c>
      <c r="B169" s="142" t="s">
        <v>219</v>
      </c>
      <c r="C169" s="394"/>
      <c r="D169" s="950"/>
      <c r="E169" s="344"/>
      <c r="F169" s="79" t="str">
        <f>INDEX(PT_DIFFERENTIATION_VTAR,MATCH(A169,PT_DIFFERENTIATION_VTAR_ID,0))</f>
        <v xml:space="preserve">Тариф на техническую воду</v>
      </c>
      <c r="G169" s="863" t="str">
        <f>INDEX(PT_DIFFERENTIATION_NTAR,MATCH(B169,PT_DIFFERENTIATION_NTAR_ID,0))</f>
        <v/>
      </c>
      <c r="H169" s="416"/>
      <c r="I169" s="939"/>
      <c r="J169" s="940"/>
      <c r="K169" s="432"/>
      <c r="L169" s="416" t="s">
        <v>294</v>
      </c>
      <c r="M169" s="933"/>
      <c r="N169" s="758"/>
      <c r="O169" s="128"/>
      <c r="P169" s="128"/>
    </row>
    <row r="170" s="50" customFormat="1" ht="18.75" hidden="1" customHeight="1">
      <c r="A170" s="142"/>
      <c r="B170" s="142"/>
      <c r="C170" s="394" t="s">
        <v>1045</v>
      </c>
      <c r="D170" s="950"/>
      <c r="E170" s="344"/>
      <c r="F170" s="79"/>
      <c r="G170" s="863"/>
      <c r="H170" s="681"/>
      <c r="I170" s="179" t="s">
        <v>1044</v>
      </c>
      <c r="J170" s="236"/>
      <c r="K170" s="681"/>
      <c r="L170" s="928"/>
      <c r="M170" s="933"/>
      <c r="N170" s="758"/>
      <c r="O170" s="128"/>
      <c r="P170" s="128"/>
    </row>
    <row r="171" s="50" customFormat="1" ht="0.75" hidden="1" customHeight="1">
      <c r="A171" s="142"/>
      <c r="B171" s="142"/>
      <c r="C171" s="394" t="s">
        <v>1052</v>
      </c>
      <c r="D171" s="950"/>
      <c r="E171" s="344"/>
      <c r="F171" s="79"/>
      <c r="G171" s="949"/>
      <c r="H171" s="681"/>
      <c r="I171" s="179"/>
      <c r="J171" s="236"/>
      <c r="K171" s="681"/>
      <c r="L171" s="928"/>
      <c r="M171" s="933"/>
      <c r="N171" s="758"/>
      <c r="O171" s="128"/>
      <c r="P171" s="128"/>
    </row>
    <row r="172" s="50" customFormat="1" ht="18.75" hidden="1" customHeight="1">
      <c r="A172" s="142" t="s">
        <v>223</v>
      </c>
      <c r="B172" s="142" t="s">
        <v>224</v>
      </c>
      <c r="C172" s="394"/>
      <c r="D172" s="950"/>
      <c r="E172" s="344"/>
      <c r="F172" s="79" t="str">
        <f>INDEX(PT_DIFFERENTIATION_VTAR,MATCH(A172,PT_DIFFERENTIATION_VTAR_ID,0))</f>
        <v xml:space="preserve">Тариф на транспортировку воды</v>
      </c>
      <c r="G172" s="863" t="str">
        <f>INDEX(PT_DIFFERENTIATION_NTAR,MATCH(B172,PT_DIFFERENTIATION_NTAR_ID,0))</f>
        <v/>
      </c>
      <c r="H172" s="416"/>
      <c r="I172" s="939"/>
      <c r="J172" s="940"/>
      <c r="K172" s="432"/>
      <c r="L172" s="416" t="s">
        <v>294</v>
      </c>
      <c r="M172" s="933"/>
      <c r="N172" s="758"/>
      <c r="O172" s="128"/>
      <c r="P172" s="128"/>
    </row>
    <row r="173" s="50" customFormat="1" ht="18.75" hidden="1" customHeight="1">
      <c r="A173" s="142"/>
      <c r="B173" s="142"/>
      <c r="C173" s="394" t="s">
        <v>1045</v>
      </c>
      <c r="D173" s="950"/>
      <c r="E173" s="344"/>
      <c r="F173" s="79"/>
      <c r="G173" s="863"/>
      <c r="H173" s="681"/>
      <c r="I173" s="179" t="s">
        <v>1044</v>
      </c>
      <c r="J173" s="236"/>
      <c r="K173" s="681"/>
      <c r="L173" s="928"/>
      <c r="M173" s="933"/>
      <c r="N173" s="758"/>
      <c r="O173" s="128"/>
      <c r="P173" s="128"/>
    </row>
    <row r="174" s="50" customFormat="1" ht="0.75" hidden="1" customHeight="1">
      <c r="A174" s="142"/>
      <c r="B174" s="142"/>
      <c r="C174" s="394" t="s">
        <v>1052</v>
      </c>
      <c r="D174" s="950"/>
      <c r="E174" s="344"/>
      <c r="F174" s="79"/>
      <c r="G174" s="949"/>
      <c r="H174" s="681"/>
      <c r="I174" s="179"/>
      <c r="J174" s="236"/>
      <c r="K174" s="681"/>
      <c r="L174" s="928"/>
      <c r="M174" s="933"/>
      <c r="N174" s="758"/>
      <c r="O174" s="128"/>
      <c r="P174" s="128"/>
    </row>
    <row r="175" s="50" customFormat="1" ht="18.75" hidden="1" customHeight="1">
      <c r="A175" s="142" t="s">
        <v>228</v>
      </c>
      <c r="B175" s="142" t="s">
        <v>229</v>
      </c>
      <c r="C175" s="394"/>
      <c r="D175" s="950"/>
      <c r="E175" s="344"/>
      <c r="F175" s="79" t="str">
        <f>INDEX(PT_DIFFERENTIATION_VTAR,MATCH(A175,PT_DIFFERENTIATION_VTAR_ID,0))</f>
        <v xml:space="preserve">Тариф на подвоз воды</v>
      </c>
      <c r="G175" s="863" t="str">
        <f>INDEX(PT_DIFFERENTIATION_NTAR,MATCH(B175,PT_DIFFERENTIATION_NTAR_ID,0))</f>
        <v/>
      </c>
      <c r="H175" s="416"/>
      <c r="I175" s="939"/>
      <c r="J175" s="940"/>
      <c r="K175" s="432"/>
      <c r="L175" s="416" t="s">
        <v>294</v>
      </c>
      <c r="M175" s="933"/>
      <c r="N175" s="758"/>
      <c r="O175" s="128"/>
      <c r="P175" s="128"/>
    </row>
    <row r="176" s="50" customFormat="1" ht="18.75" hidden="1" customHeight="1">
      <c r="A176" s="142"/>
      <c r="B176" s="142"/>
      <c r="C176" s="394" t="s">
        <v>1045</v>
      </c>
      <c r="D176" s="950"/>
      <c r="E176" s="344"/>
      <c r="F176" s="79"/>
      <c r="G176" s="863"/>
      <c r="H176" s="681"/>
      <c r="I176" s="179" t="s">
        <v>1044</v>
      </c>
      <c r="J176" s="236"/>
      <c r="K176" s="681"/>
      <c r="L176" s="928"/>
      <c r="M176" s="933"/>
      <c r="N176" s="758"/>
      <c r="O176" s="128"/>
      <c r="P176" s="128"/>
    </row>
    <row r="177" s="50" customFormat="1" ht="0.75" hidden="1" customHeight="1">
      <c r="A177" s="142"/>
      <c r="B177" s="142"/>
      <c r="C177" s="394" t="s">
        <v>1052</v>
      </c>
      <c r="D177" s="950"/>
      <c r="E177" s="344"/>
      <c r="F177" s="79"/>
      <c r="G177" s="949"/>
      <c r="H177" s="681"/>
      <c r="I177" s="179"/>
      <c r="J177" s="236"/>
      <c r="K177" s="681"/>
      <c r="L177" s="928"/>
      <c r="M177" s="933"/>
      <c r="N177" s="758"/>
      <c r="O177" s="128"/>
      <c r="P177" s="128"/>
    </row>
    <row r="178" s="50" customFormat="1" ht="18.75" hidden="1" customHeight="1">
      <c r="A178" s="142" t="s">
        <v>233</v>
      </c>
      <c r="B178" s="142" t="s">
        <v>234</v>
      </c>
      <c r="C178" s="394"/>
      <c r="D178" s="950"/>
      <c r="E178" s="344"/>
      <c r="F178" s="79" t="str">
        <f>INDEX(PT_DIFFERENTIATION_VTAR,MATCH(A178,PT_DIFFERENTIATION_VTAR_ID,0))</f>
        <v xml:space="preserve">Тариф на подключение (технологическое присоединение) к централизованной системе холодного водоснабжения</v>
      </c>
      <c r="G178" s="863" t="str">
        <f>INDEX(PT_DIFFERENTIATION_NTAR,MATCH(B178,PT_DIFFERENTIATION_NTAR_ID,0))</f>
        <v/>
      </c>
      <c r="H178" s="416"/>
      <c r="I178" s="939"/>
      <c r="J178" s="940"/>
      <c r="K178" s="432"/>
      <c r="L178" s="416" t="s">
        <v>294</v>
      </c>
      <c r="M178" s="933"/>
      <c r="N178" s="758"/>
      <c r="O178" s="128"/>
      <c r="P178" s="128"/>
    </row>
    <row r="179" s="50" customFormat="1" ht="18.75" hidden="1" customHeight="1">
      <c r="A179" s="142"/>
      <c r="B179" s="142"/>
      <c r="C179" s="394" t="s">
        <v>1045</v>
      </c>
      <c r="D179" s="950"/>
      <c r="E179" s="344"/>
      <c r="F179" s="79"/>
      <c r="G179" s="863"/>
      <c r="H179" s="681"/>
      <c r="I179" s="179" t="s">
        <v>1044</v>
      </c>
      <c r="J179" s="236"/>
      <c r="K179" s="681"/>
      <c r="L179" s="928"/>
      <c r="M179" s="933"/>
      <c r="N179" s="758"/>
      <c r="O179" s="128"/>
      <c r="P179" s="128"/>
    </row>
    <row r="180" s="50" customFormat="1" ht="0.75" hidden="1" customHeight="1">
      <c r="A180" s="142"/>
      <c r="B180" s="142"/>
      <c r="C180" s="394" t="s">
        <v>1052</v>
      </c>
      <c r="D180" s="950"/>
      <c r="E180" s="344"/>
      <c r="F180" s="79"/>
      <c r="G180" s="949"/>
      <c r="H180" s="681"/>
      <c r="I180" s="179"/>
      <c r="J180" s="236"/>
      <c r="K180" s="681"/>
      <c r="L180" s="928"/>
      <c r="M180" s="933"/>
      <c r="N180" s="758"/>
      <c r="O180" s="128"/>
      <c r="P180" s="128"/>
    </row>
    <row r="181" s="50" customFormat="1" ht="18.75" hidden="1" customHeight="1">
      <c r="A181" s="142" t="s">
        <v>238</v>
      </c>
      <c r="B181" s="142" t="s">
        <v>239</v>
      </c>
      <c r="C181" s="394"/>
      <c r="D181" s="950"/>
      <c r="E181" s="344"/>
      <c r="F181" s="79" t="str">
        <f>INDEX(PT_DIFFERENTIATION_VTAR,MATCH(A181,PT_DIFFERENTIATION_VTAR_ID,0))</f>
        <v xml:space="preserve">Тариф на горячую воду (горячее водоснабжение)</v>
      </c>
      <c r="G181" s="863" t="str">
        <f>INDEX(PT_DIFFERENTIATION_NTAR,MATCH(B181,PT_DIFFERENTIATION_NTAR_ID,0))</f>
        <v/>
      </c>
      <c r="H181" s="416"/>
      <c r="I181" s="939"/>
      <c r="J181" s="940"/>
      <c r="K181" s="432"/>
      <c r="L181" s="416" t="s">
        <v>294</v>
      </c>
      <c r="M181" s="933"/>
      <c r="N181" s="758"/>
      <c r="O181" s="128"/>
      <c r="P181" s="128"/>
    </row>
    <row r="182" s="50" customFormat="1" ht="18.75" hidden="1" customHeight="1">
      <c r="A182" s="142"/>
      <c r="B182" s="142"/>
      <c r="C182" s="394" t="s">
        <v>1045</v>
      </c>
      <c r="D182" s="950"/>
      <c r="E182" s="344"/>
      <c r="F182" s="79"/>
      <c r="G182" s="863"/>
      <c r="H182" s="681"/>
      <c r="I182" s="179" t="s">
        <v>1044</v>
      </c>
      <c r="J182" s="236"/>
      <c r="K182" s="681"/>
      <c r="L182" s="928"/>
      <c r="M182" s="933"/>
      <c r="N182" s="758"/>
      <c r="O182" s="128"/>
      <c r="P182" s="128"/>
    </row>
    <row r="183" s="50" customFormat="1" ht="0.75" hidden="1" customHeight="1">
      <c r="A183" s="142"/>
      <c r="B183" s="142"/>
      <c r="C183" s="394" t="s">
        <v>1052</v>
      </c>
      <c r="D183" s="950"/>
      <c r="E183" s="344"/>
      <c r="F183" s="79"/>
      <c r="G183" s="949"/>
      <c r="H183" s="681"/>
      <c r="I183" s="179"/>
      <c r="J183" s="236"/>
      <c r="K183" s="681"/>
      <c r="L183" s="928"/>
      <c r="M183" s="933"/>
      <c r="N183" s="758"/>
      <c r="O183" s="128"/>
      <c r="P183" s="128"/>
    </row>
    <row r="184" s="50" customFormat="1" ht="18.75" hidden="1" customHeight="1">
      <c r="A184" s="142" t="s">
        <v>243</v>
      </c>
      <c r="B184" s="142" t="s">
        <v>244</v>
      </c>
      <c r="C184" s="394"/>
      <c r="D184" s="950"/>
      <c r="E184" s="344"/>
      <c r="F184" s="79" t="str">
        <f>INDEX(PT_DIFFERENTIATION_VTAR,MATCH(A184,PT_DIFFERENTIATION_VTAR_ID,0))</f>
        <v xml:space="preserve">Тариф на транспортировку горячей воды</v>
      </c>
      <c r="G184" s="863" t="str">
        <f>INDEX(PT_DIFFERENTIATION_NTAR,MATCH(B184,PT_DIFFERENTIATION_NTAR_ID,0))</f>
        <v/>
      </c>
      <c r="H184" s="416"/>
      <c r="I184" s="939"/>
      <c r="J184" s="940"/>
      <c r="K184" s="432"/>
      <c r="L184" s="416" t="s">
        <v>294</v>
      </c>
      <c r="M184" s="933"/>
      <c r="N184" s="758"/>
      <c r="O184" s="128"/>
      <c r="P184" s="128"/>
    </row>
    <row r="185" s="50" customFormat="1" ht="18.75" hidden="1" customHeight="1">
      <c r="A185" s="142"/>
      <c r="B185" s="142"/>
      <c r="C185" s="394" t="s">
        <v>1045</v>
      </c>
      <c r="D185" s="950"/>
      <c r="E185" s="344"/>
      <c r="F185" s="79"/>
      <c r="G185" s="863"/>
      <c r="H185" s="681"/>
      <c r="I185" s="179" t="s">
        <v>1044</v>
      </c>
      <c r="J185" s="236"/>
      <c r="K185" s="681"/>
      <c r="L185" s="928"/>
      <c r="M185" s="933"/>
      <c r="N185" s="758"/>
      <c r="O185" s="128"/>
      <c r="P185" s="128"/>
    </row>
    <row r="186" s="50" customFormat="1" ht="0.75" hidden="1" customHeight="1">
      <c r="A186" s="142"/>
      <c r="B186" s="142"/>
      <c r="C186" s="394" t="s">
        <v>1052</v>
      </c>
      <c r="D186" s="950"/>
      <c r="E186" s="344"/>
      <c r="F186" s="79"/>
      <c r="G186" s="949"/>
      <c r="H186" s="681"/>
      <c r="I186" s="179"/>
      <c r="J186" s="236"/>
      <c r="K186" s="681"/>
      <c r="L186" s="928"/>
      <c r="M186" s="933"/>
      <c r="N186" s="758"/>
      <c r="O186" s="128"/>
      <c r="P186" s="128"/>
    </row>
    <row r="187" s="50" customFormat="1" ht="18.75" hidden="1" customHeight="1">
      <c r="A187" s="142" t="s">
        <v>248</v>
      </c>
      <c r="B187" s="142" t="s">
        <v>249</v>
      </c>
      <c r="C187" s="394"/>
      <c r="D187" s="950"/>
      <c r="E187" s="344"/>
      <c r="F187" s="79" t="str">
        <f>INDEX(PT_DIFFERENTIATION_VTAR,MATCH(A187,PT_DIFFERENTIATION_VTAR_ID,0))</f>
        <v xml:space="preserve">Тариф на подключение (технологическое присоединение) к централизованной системе горячего водоснабжения</v>
      </c>
      <c r="G187" s="863" t="str">
        <f>INDEX(PT_DIFFERENTIATION_NTAR,MATCH(B187,PT_DIFFERENTIATION_NTAR_ID,0))</f>
        <v/>
      </c>
      <c r="H187" s="416"/>
      <c r="I187" s="939"/>
      <c r="J187" s="940"/>
      <c r="K187" s="432"/>
      <c r="L187" s="416" t="s">
        <v>294</v>
      </c>
      <c r="M187" s="933"/>
      <c r="N187" s="758"/>
      <c r="O187" s="128"/>
      <c r="P187" s="128"/>
    </row>
    <row r="188" s="50" customFormat="1" ht="18.75" hidden="1" customHeight="1">
      <c r="A188" s="142"/>
      <c r="B188" s="142"/>
      <c r="C188" s="394" t="s">
        <v>1045</v>
      </c>
      <c r="D188" s="950"/>
      <c r="E188" s="344"/>
      <c r="F188" s="79"/>
      <c r="G188" s="863"/>
      <c r="H188" s="681"/>
      <c r="I188" s="179" t="s">
        <v>1044</v>
      </c>
      <c r="J188" s="236"/>
      <c r="K188" s="681"/>
      <c r="L188" s="928"/>
      <c r="M188" s="933"/>
      <c r="N188" s="758"/>
      <c r="O188" s="128"/>
      <c r="P188" s="128"/>
    </row>
    <row r="189" s="50" customFormat="1" ht="0.75" hidden="1" customHeight="1">
      <c r="A189" s="142"/>
      <c r="B189" s="142"/>
      <c r="C189" s="394" t="s">
        <v>1052</v>
      </c>
      <c r="D189" s="950"/>
      <c r="E189" s="344"/>
      <c r="F189" s="79"/>
      <c r="G189" s="949"/>
      <c r="H189" s="681"/>
      <c r="I189" s="179"/>
      <c r="J189" s="236"/>
      <c r="K189" s="681"/>
      <c r="L189" s="928"/>
      <c r="M189" s="933"/>
      <c r="N189" s="758"/>
      <c r="O189" s="128"/>
      <c r="P189" s="128"/>
    </row>
    <row r="190" s="50" customFormat="1" ht="18.75" hidden="1" customHeight="1">
      <c r="A190" s="142" t="s">
        <v>253</v>
      </c>
      <c r="B190" s="142" t="s">
        <v>254</v>
      </c>
      <c r="C190" s="394"/>
      <c r="D190" s="950"/>
      <c r="E190" s="344"/>
      <c r="F190" s="79" t="str">
        <f>INDEX(PT_DIFFERENTIATION_VTAR,MATCH(A190,PT_DIFFERENTIATION_VTAR_ID,0))</f>
        <v xml:space="preserve">Тариф на водоотведение</v>
      </c>
      <c r="G190" s="863" t="str">
        <f>INDEX(PT_DIFFERENTIATION_NTAR,MATCH(B190,PT_DIFFERENTIATION_NTAR_ID,0))</f>
        <v/>
      </c>
      <c r="H190" s="416"/>
      <c r="I190" s="939"/>
      <c r="J190" s="940"/>
      <c r="K190" s="432"/>
      <c r="L190" s="416" t="s">
        <v>294</v>
      </c>
      <c r="M190" s="933"/>
      <c r="N190" s="758"/>
      <c r="O190" s="128"/>
      <c r="P190" s="128"/>
    </row>
    <row r="191" s="50" customFormat="1" ht="18.75" hidden="1" customHeight="1">
      <c r="A191" s="142"/>
      <c r="B191" s="142"/>
      <c r="C191" s="394" t="s">
        <v>1045</v>
      </c>
      <c r="D191" s="950"/>
      <c r="E191" s="344"/>
      <c r="F191" s="79"/>
      <c r="G191" s="863"/>
      <c r="H191" s="681"/>
      <c r="I191" s="179" t="s">
        <v>1044</v>
      </c>
      <c r="J191" s="236"/>
      <c r="K191" s="681"/>
      <c r="L191" s="928"/>
      <c r="M191" s="933"/>
      <c r="N191" s="758"/>
      <c r="O191" s="128"/>
      <c r="P191" s="128"/>
    </row>
    <row r="192" s="50" customFormat="1" ht="0.75" hidden="1" customHeight="1">
      <c r="A192" s="142"/>
      <c r="B192" s="142"/>
      <c r="C192" s="394" t="s">
        <v>1052</v>
      </c>
      <c r="D192" s="950"/>
      <c r="E192" s="344"/>
      <c r="F192" s="79"/>
      <c r="G192" s="949"/>
      <c r="H192" s="681"/>
      <c r="I192" s="179"/>
      <c r="J192" s="236"/>
      <c r="K192" s="681"/>
      <c r="L192" s="928"/>
      <c r="M192" s="933"/>
      <c r="N192" s="758"/>
      <c r="O192" s="128"/>
      <c r="P192" s="128"/>
    </row>
    <row r="193" s="50" customFormat="1" ht="18.75" hidden="1" customHeight="1">
      <c r="A193" s="142" t="s">
        <v>258</v>
      </c>
      <c r="B193" s="142" t="s">
        <v>259</v>
      </c>
      <c r="C193" s="394"/>
      <c r="D193" s="950"/>
      <c r="E193" s="344"/>
      <c r="F193" s="79" t="str">
        <f>INDEX(PT_DIFFERENTIATION_VTAR,MATCH(A193,PT_DIFFERENTIATION_VTAR_ID,0))</f>
        <v xml:space="preserve">Тариф на транспортировку сточных вод</v>
      </c>
      <c r="G193" s="863" t="str">
        <f>INDEX(PT_DIFFERENTIATION_NTAR,MATCH(B193,PT_DIFFERENTIATION_NTAR_ID,0))</f>
        <v/>
      </c>
      <c r="H193" s="416"/>
      <c r="I193" s="939"/>
      <c r="J193" s="940"/>
      <c r="K193" s="432"/>
      <c r="L193" s="416" t="s">
        <v>294</v>
      </c>
      <c r="M193" s="933"/>
      <c r="N193" s="758"/>
      <c r="O193" s="128"/>
      <c r="P193" s="128"/>
    </row>
    <row r="194" s="50" customFormat="1" ht="18.75" hidden="1" customHeight="1">
      <c r="A194" s="142"/>
      <c r="B194" s="142"/>
      <c r="C194" s="394" t="s">
        <v>1045</v>
      </c>
      <c r="D194" s="950"/>
      <c r="E194" s="344"/>
      <c r="F194" s="79"/>
      <c r="G194" s="863"/>
      <c r="H194" s="681"/>
      <c r="I194" s="179" t="s">
        <v>1044</v>
      </c>
      <c r="J194" s="236"/>
      <c r="K194" s="681"/>
      <c r="L194" s="928"/>
      <c r="M194" s="933"/>
      <c r="N194" s="758"/>
      <c r="O194" s="128"/>
      <c r="P194" s="128"/>
    </row>
    <row r="195" s="50" customFormat="1" ht="0.75" hidden="1" customHeight="1">
      <c r="A195" s="142"/>
      <c r="B195" s="142"/>
      <c r="C195" s="394" t="s">
        <v>1052</v>
      </c>
      <c r="D195" s="950"/>
      <c r="E195" s="344"/>
      <c r="F195" s="79"/>
      <c r="G195" s="949"/>
      <c r="H195" s="681"/>
      <c r="I195" s="179"/>
      <c r="J195" s="236"/>
      <c r="K195" s="681"/>
      <c r="L195" s="928"/>
      <c r="M195" s="933"/>
      <c r="N195" s="758"/>
      <c r="O195" s="128"/>
      <c r="P195" s="128"/>
    </row>
    <row r="196" s="50" customFormat="1" ht="18.75" hidden="1" customHeight="1">
      <c r="A196" s="142" t="s">
        <v>263</v>
      </c>
      <c r="B196" s="142" t="s">
        <v>264</v>
      </c>
      <c r="C196" s="394"/>
      <c r="D196" s="950"/>
      <c r="E196" s="344"/>
      <c r="F196" s="79" t="str">
        <f>INDEX(PT_DIFFERENTIATION_VTAR,MATCH(A196,PT_DIFFERENTIATION_VTAR_ID,0))</f>
        <v xml:space="preserve">Тариф на подключение (технологическое присоединение) к централизованной системе водоотведения</v>
      </c>
      <c r="G196" s="863" t="str">
        <f>INDEX(PT_DIFFERENTIATION_NTAR,MATCH(B196,PT_DIFFERENTIATION_NTAR_ID,0))</f>
        <v/>
      </c>
      <c r="H196" s="416"/>
      <c r="I196" s="939"/>
      <c r="J196" s="940"/>
      <c r="K196" s="432"/>
      <c r="L196" s="416" t="s">
        <v>294</v>
      </c>
      <c r="M196" s="933"/>
      <c r="N196" s="758"/>
      <c r="O196" s="128"/>
      <c r="P196" s="128"/>
    </row>
    <row r="197" s="50" customFormat="1" ht="18.75" hidden="1" customHeight="1">
      <c r="A197" s="142"/>
      <c r="B197" s="142"/>
      <c r="C197" s="394" t="s">
        <v>1045</v>
      </c>
      <c r="D197" s="950"/>
      <c r="E197" s="344"/>
      <c r="F197" s="79"/>
      <c r="G197" s="863"/>
      <c r="H197" s="681"/>
      <c r="I197" s="179" t="s">
        <v>1044</v>
      </c>
      <c r="J197" s="236"/>
      <c r="K197" s="681"/>
      <c r="L197" s="928"/>
      <c r="M197" s="933"/>
      <c r="N197" s="758"/>
      <c r="O197" s="128"/>
      <c r="P197" s="128"/>
    </row>
    <row r="198" s="50" customFormat="1" ht="0.75" customHeight="1">
      <c r="A198" s="142"/>
      <c r="B198" s="142"/>
      <c r="C198" s="394" t="s">
        <v>1052</v>
      </c>
      <c r="D198" s="950"/>
      <c r="E198" s="344"/>
      <c r="F198" s="79"/>
      <c r="G198" s="949"/>
      <c r="H198" s="681"/>
      <c r="I198" s="179"/>
      <c r="J198" s="236"/>
      <c r="K198" s="681"/>
      <c r="L198" s="928"/>
      <c r="M198" s="933"/>
      <c r="N198" s="758"/>
      <c r="O198" s="128"/>
      <c r="P198" s="128"/>
    </row>
    <row r="199" ht="26.25" customHeight="1">
      <c r="A199" s="142"/>
      <c r="B199" s="142"/>
      <c r="D199" s="537"/>
      <c r="E199" s="344" t="s">
        <v>112</v>
      </c>
      <c r="F199" s="9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937"/>
      <c r="H199" s="937"/>
      <c r="I199" s="937"/>
      <c r="J199" s="937"/>
      <c r="K199" s="937"/>
      <c r="L199" s="937"/>
      <c r="M199" s="918"/>
      <c r="N199" s="758"/>
    </row>
    <row r="200" s="50" customFormat="1" ht="60.75" hidden="1" customHeight="1">
      <c r="A200" s="142" t="s">
        <v>157</v>
      </c>
      <c r="B200" s="142" t="s">
        <v>158</v>
      </c>
      <c r="C200" s="394"/>
      <c r="D200" s="950"/>
      <c r="E200" s="344"/>
      <c r="F200" s="79" t="str">
        <f>INDEX(PT_DIFFERENTIATION_VTAR,MATCH(A200,PT_DIFFERENTIATION_VTAR_ID,0))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863" t="str">
        <f>INDEX(PT_DIFFERENTIATION_NTAR,MATCH(B200,PT_DIFFERENTIATION_NTAR_ID,0))</f>
        <v/>
      </c>
      <c r="H200" s="416"/>
      <c r="I200" s="939"/>
      <c r="J200" s="940"/>
      <c r="K200" s="432"/>
      <c r="L200" s="416" t="s">
        <v>294</v>
      </c>
      <c r="M200" s="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758"/>
      <c r="O200" s="128"/>
      <c r="P200" s="128"/>
    </row>
    <row r="201" s="50" customFormat="1" ht="18.75" hidden="1" customHeight="1">
      <c r="A201" s="142"/>
      <c r="B201" s="142"/>
      <c r="C201" s="394" t="s">
        <v>1045</v>
      </c>
      <c r="D201" s="950"/>
      <c r="E201" s="344"/>
      <c r="F201" s="79"/>
      <c r="G201" s="863"/>
      <c r="H201" s="681"/>
      <c r="I201" s="179" t="s">
        <v>1044</v>
      </c>
      <c r="J201" s="236"/>
      <c r="K201" s="681"/>
      <c r="L201" s="928"/>
      <c r="M201" s="286"/>
      <c r="N201" s="758"/>
      <c r="O201" s="128"/>
      <c r="P201" s="128"/>
    </row>
    <row r="202" s="50" customFormat="1" ht="0.75" hidden="1" customHeight="1">
      <c r="A202" s="142"/>
      <c r="B202" s="142"/>
      <c r="C202" s="394" t="s">
        <v>1052</v>
      </c>
      <c r="D202" s="950"/>
      <c r="E202" s="344"/>
      <c r="F202" s="79"/>
      <c r="G202" s="949"/>
      <c r="H202" s="681"/>
      <c r="I202" s="179"/>
      <c r="J202" s="236"/>
      <c r="K202" s="681"/>
      <c r="L202" s="928"/>
      <c r="M202" s="286"/>
      <c r="N202" s="758"/>
      <c r="O202" s="128"/>
      <c r="P202" s="128"/>
    </row>
    <row r="203" s="50" customFormat="1" ht="45" hidden="1" customHeight="1">
      <c r="A203" s="142" t="s">
        <v>163</v>
      </c>
      <c r="B203" s="142" t="s">
        <v>164</v>
      </c>
      <c r="C203" s="394"/>
      <c r="D203" s="950"/>
      <c r="E203" s="344"/>
      <c r="F203" s="79" t="str">
        <f>INDEX(PT_DIFFERENTIATION_VTAR,MATCH(A203,PT_DIFFERENTIATION_VTAR_ID,0))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03" s="863" t="str">
        <f>INDEX(PT_DIFFERENTIATION_NTAR,MATCH(B203,PT_DIFFERENTIATION_NTAR_ID,0))</f>
        <v/>
      </c>
      <c r="H203" s="416"/>
      <c r="I203" s="939"/>
      <c r="J203" s="940"/>
      <c r="K203" s="432"/>
      <c r="L203" s="416" t="s">
        <v>294</v>
      </c>
      <c r="M203" s="288"/>
      <c r="N203" s="758"/>
      <c r="O203" s="128"/>
      <c r="P203" s="128"/>
    </row>
    <row r="204" s="50" customFormat="1" ht="18.75" hidden="1" customHeight="1">
      <c r="A204" s="142"/>
      <c r="B204" s="142"/>
      <c r="C204" s="394" t="s">
        <v>1045</v>
      </c>
      <c r="D204" s="950"/>
      <c r="E204" s="344"/>
      <c r="F204" s="79"/>
      <c r="G204" s="863"/>
      <c r="H204" s="681"/>
      <c r="I204" s="179" t="s">
        <v>1044</v>
      </c>
      <c r="J204" s="236"/>
      <c r="K204" s="681"/>
      <c r="L204" s="928"/>
      <c r="M204" s="286"/>
      <c r="N204" s="758"/>
      <c r="O204" s="128"/>
      <c r="P204" s="128"/>
    </row>
    <row r="205" s="50" customFormat="1" ht="0.75" hidden="1" customHeight="1">
      <c r="A205" s="142"/>
      <c r="B205" s="142"/>
      <c r="C205" s="394" t="s">
        <v>1052</v>
      </c>
      <c r="D205" s="950"/>
      <c r="E205" s="344"/>
      <c r="F205" s="79"/>
      <c r="G205" s="949"/>
      <c r="H205" s="681"/>
      <c r="I205" s="179"/>
      <c r="J205" s="236"/>
      <c r="K205" s="681"/>
      <c r="L205" s="928"/>
      <c r="M205" s="933"/>
      <c r="N205" s="758"/>
      <c r="O205" s="128"/>
      <c r="P205" s="128"/>
    </row>
    <row r="206" s="50" customFormat="1" ht="45" hidden="1" customHeight="1">
      <c r="A206" s="142" t="s">
        <v>169</v>
      </c>
      <c r="B206" s="142" t="s">
        <v>170</v>
      </c>
      <c r="C206" s="394"/>
      <c r="D206" s="950"/>
      <c r="E206" s="344"/>
      <c r="F206" s="79" t="str">
        <f>INDEX(PT_DIFFERENTIATION_VTAR,MATCH(A206,PT_DIFFERENTIATION_VTAR_ID,0))</f>
        <v xml:space="preserve">Тарифы на теплоноситель, поставляемый теплоснабжающими организациями потребителям, другим теплоснабжающим организациям</v>
      </c>
      <c r="G206" s="863" t="str">
        <f>INDEX(PT_DIFFERENTIATION_NTAR,MATCH(B206,PT_DIFFERENTIATION_NTAR_ID,0))</f>
        <v/>
      </c>
      <c r="H206" s="416"/>
      <c r="I206" s="939"/>
      <c r="J206" s="940"/>
      <c r="K206" s="432"/>
      <c r="L206" s="416" t="s">
        <v>294</v>
      </c>
      <c r="M206" s="933"/>
      <c r="N206" s="758"/>
      <c r="O206" s="128"/>
      <c r="P206" s="128"/>
    </row>
    <row r="207" s="50" customFormat="1" ht="18.75" hidden="1" customHeight="1">
      <c r="A207" s="142"/>
      <c r="B207" s="142"/>
      <c r="C207" s="394" t="s">
        <v>1045</v>
      </c>
      <c r="D207" s="950"/>
      <c r="E207" s="344"/>
      <c r="F207" s="79"/>
      <c r="G207" s="863"/>
      <c r="H207" s="681"/>
      <c r="I207" s="179" t="s">
        <v>1044</v>
      </c>
      <c r="J207" s="236"/>
      <c r="K207" s="681"/>
      <c r="L207" s="928"/>
      <c r="M207" s="933"/>
      <c r="N207" s="758"/>
      <c r="O207" s="128"/>
      <c r="P207" s="128"/>
    </row>
    <row r="208" s="50" customFormat="1" ht="0.75" hidden="1" customHeight="1">
      <c r="A208" s="142"/>
      <c r="B208" s="142"/>
      <c r="C208" s="394" t="s">
        <v>1052</v>
      </c>
      <c r="D208" s="950"/>
      <c r="E208" s="344"/>
      <c r="F208" s="79"/>
      <c r="G208" s="949"/>
      <c r="H208" s="681"/>
      <c r="I208" s="179"/>
      <c r="J208" s="236"/>
      <c r="K208" s="681"/>
      <c r="L208" s="928"/>
      <c r="M208" s="933"/>
      <c r="N208" s="758"/>
      <c r="O208" s="128"/>
      <c r="P208" s="128"/>
    </row>
    <row r="209" s="50" customFormat="1" ht="45" hidden="1" customHeight="1">
      <c r="A209" s="142" t="s">
        <v>175</v>
      </c>
      <c r="B209" s="142" t="s">
        <v>176</v>
      </c>
      <c r="C209" s="394"/>
      <c r="D209" s="950"/>
      <c r="E209" s="344"/>
      <c r="F209" s="79" t="str">
        <f>INDEX(PT_DIFFERENTIATION_VTAR,MATCH(A209,PT_DIFFERENTIATION_VTAR_ID,0))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863" t="str">
        <f>INDEX(PT_DIFFERENTIATION_NTAR,MATCH(B209,PT_DIFFERENTIATION_NTAR_ID,0))</f>
        <v/>
      </c>
      <c r="H209" s="416"/>
      <c r="I209" s="939"/>
      <c r="J209" s="940"/>
      <c r="K209" s="432"/>
      <c r="L209" s="416" t="s">
        <v>294</v>
      </c>
      <c r="M209" s="933"/>
      <c r="N209" s="758"/>
      <c r="O209" s="128"/>
      <c r="P209" s="128"/>
    </row>
    <row r="210" s="50" customFormat="1" ht="18.75" hidden="1" customHeight="1">
      <c r="A210" s="142"/>
      <c r="B210" s="142"/>
      <c r="C210" s="394" t="s">
        <v>1045</v>
      </c>
      <c r="D210" s="950"/>
      <c r="E210" s="344"/>
      <c r="F210" s="79"/>
      <c r="G210" s="863"/>
      <c r="H210" s="681"/>
      <c r="I210" s="179" t="s">
        <v>1044</v>
      </c>
      <c r="J210" s="236"/>
      <c r="K210" s="681"/>
      <c r="L210" s="928"/>
      <c r="M210" s="933"/>
      <c r="N210" s="758"/>
      <c r="O210" s="128"/>
      <c r="P210" s="128"/>
    </row>
    <row r="211" s="50" customFormat="1" ht="0.75" hidden="1" customHeight="1">
      <c r="A211" s="142"/>
      <c r="B211" s="142"/>
      <c r="C211" s="394" t="s">
        <v>1052</v>
      </c>
      <c r="D211" s="950"/>
      <c r="E211" s="344"/>
      <c r="F211" s="79"/>
      <c r="G211" s="949"/>
      <c r="H211" s="681"/>
      <c r="I211" s="179"/>
      <c r="J211" s="236"/>
      <c r="K211" s="681"/>
      <c r="L211" s="928"/>
      <c r="M211" s="933"/>
      <c r="N211" s="758"/>
      <c r="O211" s="128"/>
      <c r="P211" s="128"/>
    </row>
    <row r="212" s="50" customFormat="1" ht="18.75" hidden="1" customHeight="1">
      <c r="A212" s="142" t="s">
        <v>181</v>
      </c>
      <c r="B212" s="142" t="s">
        <v>182</v>
      </c>
      <c r="C212" s="394"/>
      <c r="D212" s="950"/>
      <c r="E212" s="344"/>
      <c r="F212" s="79" t="str">
        <f>INDEX(PT_DIFFERENTIATION_VTAR,MATCH(A212,PT_DIFFERENTIATION_VTAR_ID,0))</f>
        <v xml:space="preserve">Тарифы на услуги по передаче тепловой энергии</v>
      </c>
      <c r="G212" s="863" t="str">
        <f>INDEX(PT_DIFFERENTIATION_NTAR,MATCH(B212,PT_DIFFERENTIATION_NTAR_ID,0))</f>
        <v/>
      </c>
      <c r="H212" s="416"/>
      <c r="I212" s="939"/>
      <c r="J212" s="940"/>
      <c r="K212" s="432"/>
      <c r="L212" s="416" t="s">
        <v>294</v>
      </c>
      <c r="M212" s="933"/>
      <c r="N212" s="758"/>
      <c r="O212" s="128"/>
      <c r="P212" s="128"/>
    </row>
    <row r="213" s="50" customFormat="1" ht="18.75" hidden="1" customHeight="1">
      <c r="A213" s="142"/>
      <c r="B213" s="142"/>
      <c r="C213" s="394" t="s">
        <v>1045</v>
      </c>
      <c r="D213" s="950"/>
      <c r="E213" s="344"/>
      <c r="F213" s="79"/>
      <c r="G213" s="863"/>
      <c r="H213" s="681"/>
      <c r="I213" s="179" t="s">
        <v>1044</v>
      </c>
      <c r="J213" s="236"/>
      <c r="K213" s="681"/>
      <c r="L213" s="928"/>
      <c r="M213" s="933"/>
      <c r="N213" s="758"/>
      <c r="O213" s="128"/>
      <c r="P213" s="128"/>
    </row>
    <row r="214" s="50" customFormat="1" ht="0.75" hidden="1" customHeight="1">
      <c r="A214" s="142"/>
      <c r="B214" s="142"/>
      <c r="C214" s="394" t="s">
        <v>1052</v>
      </c>
      <c r="D214" s="950"/>
      <c r="E214" s="344"/>
      <c r="F214" s="79"/>
      <c r="G214" s="949"/>
      <c r="H214" s="681"/>
      <c r="I214" s="179"/>
      <c r="J214" s="236"/>
      <c r="K214" s="681"/>
      <c r="L214" s="928"/>
      <c r="M214" s="933"/>
      <c r="N214" s="758"/>
      <c r="O214" s="128"/>
      <c r="P214" s="128"/>
    </row>
    <row r="215" s="50" customFormat="1" ht="18.75" hidden="1" customHeight="1">
      <c r="A215" s="142" t="s">
        <v>187</v>
      </c>
      <c r="B215" s="142" t="s">
        <v>188</v>
      </c>
      <c r="C215" s="394"/>
      <c r="D215" s="950"/>
      <c r="E215" s="344"/>
      <c r="F215" s="79" t="str">
        <f>INDEX(PT_DIFFERENTIATION_VTAR,MATCH(A215,PT_DIFFERENTIATION_VTAR_ID,0))</f>
        <v xml:space="preserve">Тарифы на услуги по передаче теплоносителя</v>
      </c>
      <c r="G215" s="863" t="str">
        <f>INDEX(PT_DIFFERENTIATION_NTAR,MATCH(B215,PT_DIFFERENTIATION_NTAR_ID,0))</f>
        <v/>
      </c>
      <c r="H215" s="416"/>
      <c r="I215" s="939"/>
      <c r="J215" s="940"/>
      <c r="K215" s="432"/>
      <c r="L215" s="416" t="s">
        <v>294</v>
      </c>
      <c r="M215" s="933"/>
      <c r="N215" s="758"/>
      <c r="O215" s="128"/>
      <c r="P215" s="128"/>
    </row>
    <row r="216" s="50" customFormat="1" ht="18.75" hidden="1" customHeight="1">
      <c r="A216" s="142"/>
      <c r="B216" s="142"/>
      <c r="C216" s="394" t="s">
        <v>1045</v>
      </c>
      <c r="D216" s="950"/>
      <c r="E216" s="344"/>
      <c r="F216" s="79"/>
      <c r="G216" s="863"/>
      <c r="H216" s="681"/>
      <c r="I216" s="179" t="s">
        <v>1044</v>
      </c>
      <c r="J216" s="236"/>
      <c r="K216" s="681"/>
      <c r="L216" s="928"/>
      <c r="M216" s="933"/>
      <c r="N216" s="758"/>
      <c r="O216" s="128"/>
      <c r="P216" s="128"/>
    </row>
    <row r="217" s="50" customFormat="1" ht="0.75" hidden="1" customHeight="1">
      <c r="A217" s="142"/>
      <c r="B217" s="142"/>
      <c r="C217" s="394" t="s">
        <v>1052</v>
      </c>
      <c r="D217" s="950"/>
      <c r="E217" s="344"/>
      <c r="F217" s="79"/>
      <c r="G217" s="949"/>
      <c r="H217" s="681"/>
      <c r="I217" s="179"/>
      <c r="J217" s="236"/>
      <c r="K217" s="681"/>
      <c r="L217" s="928"/>
      <c r="M217" s="933"/>
      <c r="N217" s="758"/>
      <c r="O217" s="128"/>
      <c r="P217" s="128"/>
    </row>
    <row r="218" s="50" customFormat="1" ht="18.75" hidden="1" customHeight="1">
      <c r="A218" s="142" t="s">
        <v>193</v>
      </c>
      <c r="B218" s="142" t="s">
        <v>194</v>
      </c>
      <c r="C218" s="394"/>
      <c r="D218" s="950"/>
      <c r="E218" s="344"/>
      <c r="F218" s="79" t="str">
        <f>INDEX(PT_DIFFERENTIATION_VTAR,MATCH(A218,PT_DIFFERENTIATION_VTAR_ID,0))</f>
        <v xml:space="preserve">Плата за услуги по поддержанию резервной тепловой мощности при отсутствии потребления тепловой энергии</v>
      </c>
      <c r="G218" s="863" t="str">
        <f>INDEX(PT_DIFFERENTIATION_NTAR,MATCH(B218,PT_DIFFERENTIATION_NTAR_ID,0))</f>
        <v/>
      </c>
      <c r="H218" s="416"/>
      <c r="I218" s="939"/>
      <c r="J218" s="940"/>
      <c r="K218" s="432"/>
      <c r="L218" s="416" t="s">
        <v>294</v>
      </c>
      <c r="M218" s="933"/>
      <c r="N218" s="758"/>
      <c r="O218" s="128"/>
      <c r="P218" s="128"/>
    </row>
    <row r="219" s="50" customFormat="1" ht="18.75" hidden="1" customHeight="1">
      <c r="A219" s="142"/>
      <c r="B219" s="142"/>
      <c r="C219" s="394" t="s">
        <v>1045</v>
      </c>
      <c r="D219" s="950"/>
      <c r="E219" s="344"/>
      <c r="F219" s="79"/>
      <c r="G219" s="863"/>
      <c r="H219" s="681"/>
      <c r="I219" s="179" t="s">
        <v>1044</v>
      </c>
      <c r="J219" s="236"/>
      <c r="K219" s="681"/>
      <c r="L219" s="928"/>
      <c r="M219" s="933"/>
      <c r="N219" s="758"/>
      <c r="O219" s="128"/>
      <c r="P219" s="128"/>
    </row>
    <row r="220" s="50" customFormat="1" ht="0.75" hidden="1" customHeight="1">
      <c r="A220" s="142"/>
      <c r="B220" s="142"/>
      <c r="C220" s="394" t="s">
        <v>1052</v>
      </c>
      <c r="D220" s="950"/>
      <c r="E220" s="344"/>
      <c r="F220" s="79"/>
      <c r="G220" s="949"/>
      <c r="H220" s="681"/>
      <c r="I220" s="179"/>
      <c r="J220" s="236"/>
      <c r="K220" s="681"/>
      <c r="L220" s="928"/>
      <c r="M220" s="933"/>
      <c r="N220" s="758"/>
      <c r="O220" s="128"/>
      <c r="P220" s="128"/>
    </row>
    <row r="221" s="50" customFormat="1" ht="18.75" hidden="1" customHeight="1">
      <c r="A221" s="142" t="s">
        <v>199</v>
      </c>
      <c r="B221" s="142" t="s">
        <v>200</v>
      </c>
      <c r="C221" s="394"/>
      <c r="D221" s="950"/>
      <c r="E221" s="344"/>
      <c r="F221" s="79" t="str">
        <f>INDEX(PT_DIFFERENTIATION_VTAR,MATCH(A221,PT_DIFFERENTIATION_VTAR_ID,0))</f>
        <v xml:space="preserve">Плата за подключение (технологическое присоединение) к системе теплоснабжения</v>
      </c>
      <c r="G221" s="863" t="str">
        <f>INDEX(PT_DIFFERENTIATION_NTAR,MATCH(B221,PT_DIFFERENTIATION_NTAR_ID,0))</f>
        <v/>
      </c>
      <c r="H221" s="416"/>
      <c r="I221" s="939"/>
      <c r="J221" s="940"/>
      <c r="K221" s="432"/>
      <c r="L221" s="416" t="s">
        <v>294</v>
      </c>
      <c r="M221" s="933"/>
      <c r="N221" s="758"/>
      <c r="O221" s="128"/>
      <c r="P221" s="128"/>
    </row>
    <row r="222" s="50" customFormat="1" ht="18.75" hidden="1" customHeight="1">
      <c r="A222" s="142"/>
      <c r="B222" s="142"/>
      <c r="C222" s="394" t="s">
        <v>1045</v>
      </c>
      <c r="D222" s="950"/>
      <c r="E222" s="344"/>
      <c r="F222" s="79"/>
      <c r="G222" s="863"/>
      <c r="H222" s="681"/>
      <c r="I222" s="179" t="s">
        <v>1044</v>
      </c>
      <c r="J222" s="236"/>
      <c r="K222" s="681"/>
      <c r="L222" s="928"/>
      <c r="M222" s="933"/>
      <c r="N222" s="758"/>
      <c r="O222" s="128"/>
      <c r="P222" s="128"/>
    </row>
    <row r="223" s="50" customFormat="1" ht="0.75" hidden="1" customHeight="1">
      <c r="A223" s="142"/>
      <c r="B223" s="142"/>
      <c r="C223" s="394" t="s">
        <v>1052</v>
      </c>
      <c r="D223" s="950"/>
      <c r="E223" s="344"/>
      <c r="F223" s="79"/>
      <c r="G223" s="949"/>
      <c r="H223" s="681"/>
      <c r="I223" s="179"/>
      <c r="J223" s="236"/>
      <c r="K223" s="681"/>
      <c r="L223" s="928"/>
      <c r="M223" s="933"/>
      <c r="N223" s="758"/>
      <c r="O223" s="128"/>
      <c r="P223" s="128"/>
    </row>
    <row r="224" s="50" customFormat="1" ht="18.75" hidden="1" customHeight="1">
      <c r="A224" s="142" t="s">
        <v>213</v>
      </c>
      <c r="B224" s="142" t="s">
        <v>214</v>
      </c>
      <c r="C224" s="394"/>
      <c r="D224" s="950"/>
      <c r="E224" s="344"/>
      <c r="F224" s="79" t="str">
        <f>INDEX(PT_DIFFERENTIATION_VTAR,MATCH(A224,PT_DIFFERENTIATION_VTAR_ID,0))</f>
        <v xml:space="preserve">Тариф на питьевую воду (питьевое водоснабжение)</v>
      </c>
      <c r="G224" s="863" t="str">
        <f>INDEX(PT_DIFFERENTIATION_NTAR,MATCH(B224,PT_DIFFERENTIATION_NTAR_ID,0))</f>
        <v/>
      </c>
      <c r="H224" s="416"/>
      <c r="I224" s="939"/>
      <c r="J224" s="940"/>
      <c r="K224" s="432"/>
      <c r="L224" s="416" t="s">
        <v>294</v>
      </c>
      <c r="M224" s="933"/>
      <c r="N224" s="758"/>
      <c r="O224" s="128"/>
      <c r="P224" s="128"/>
    </row>
    <row r="225" s="50" customFormat="1" ht="18.75" hidden="1" customHeight="1">
      <c r="A225" s="142"/>
      <c r="B225" s="142"/>
      <c r="C225" s="394" t="s">
        <v>1045</v>
      </c>
      <c r="D225" s="950"/>
      <c r="E225" s="344"/>
      <c r="F225" s="79"/>
      <c r="G225" s="863"/>
      <c r="H225" s="681"/>
      <c r="I225" s="179" t="s">
        <v>1044</v>
      </c>
      <c r="J225" s="236"/>
      <c r="K225" s="681"/>
      <c r="L225" s="928"/>
      <c r="M225" s="933"/>
      <c r="N225" s="758"/>
      <c r="O225" s="128"/>
      <c r="P225" s="128"/>
    </row>
    <row r="226" s="50" customFormat="1" ht="0.75" hidden="1" customHeight="1">
      <c r="A226" s="142"/>
      <c r="B226" s="142"/>
      <c r="C226" s="394" t="s">
        <v>1052</v>
      </c>
      <c r="D226" s="950"/>
      <c r="E226" s="344"/>
      <c r="F226" s="79"/>
      <c r="G226" s="949"/>
      <c r="H226" s="681"/>
      <c r="I226" s="179"/>
      <c r="J226" s="236"/>
      <c r="K226" s="681"/>
      <c r="L226" s="928"/>
      <c r="M226" s="933"/>
      <c r="N226" s="758"/>
      <c r="O226" s="128"/>
      <c r="P226" s="128"/>
    </row>
    <row r="227" s="50" customFormat="1" ht="18.75" hidden="1" customHeight="1">
      <c r="A227" s="142" t="s">
        <v>218</v>
      </c>
      <c r="B227" s="142" t="s">
        <v>219</v>
      </c>
      <c r="C227" s="394"/>
      <c r="D227" s="950"/>
      <c r="E227" s="344"/>
      <c r="F227" s="79" t="str">
        <f>INDEX(PT_DIFFERENTIATION_VTAR,MATCH(A227,PT_DIFFERENTIATION_VTAR_ID,0))</f>
        <v xml:space="preserve">Тариф на техническую воду</v>
      </c>
      <c r="G227" s="863" t="str">
        <f>INDEX(PT_DIFFERENTIATION_NTAR,MATCH(B227,PT_DIFFERENTIATION_NTAR_ID,0))</f>
        <v/>
      </c>
      <c r="H227" s="416"/>
      <c r="I227" s="939"/>
      <c r="J227" s="940"/>
      <c r="K227" s="432"/>
      <c r="L227" s="416" t="s">
        <v>294</v>
      </c>
      <c r="M227" s="933"/>
      <c r="N227" s="758"/>
      <c r="O227" s="128"/>
      <c r="P227" s="128"/>
    </row>
    <row r="228" s="50" customFormat="1" ht="18.75" hidden="1" customHeight="1">
      <c r="A228" s="142"/>
      <c r="B228" s="142"/>
      <c r="C228" s="394" t="s">
        <v>1045</v>
      </c>
      <c r="D228" s="950"/>
      <c r="E228" s="344"/>
      <c r="F228" s="79"/>
      <c r="G228" s="863"/>
      <c r="H228" s="681"/>
      <c r="I228" s="179" t="s">
        <v>1044</v>
      </c>
      <c r="J228" s="236"/>
      <c r="K228" s="681"/>
      <c r="L228" s="928"/>
      <c r="M228" s="933"/>
      <c r="N228" s="758"/>
      <c r="O228" s="128"/>
      <c r="P228" s="128"/>
    </row>
    <row r="229" s="50" customFormat="1" ht="0.75" hidden="1" customHeight="1">
      <c r="A229" s="142"/>
      <c r="B229" s="142"/>
      <c r="C229" s="394" t="s">
        <v>1052</v>
      </c>
      <c r="D229" s="950"/>
      <c r="E229" s="344"/>
      <c r="F229" s="79"/>
      <c r="G229" s="949"/>
      <c r="H229" s="681"/>
      <c r="I229" s="179"/>
      <c r="J229" s="236"/>
      <c r="K229" s="681"/>
      <c r="L229" s="928"/>
      <c r="M229" s="933"/>
      <c r="N229" s="758"/>
      <c r="O229" s="128"/>
      <c r="P229" s="128"/>
    </row>
    <row r="230" s="50" customFormat="1" ht="18.75" hidden="1" customHeight="1">
      <c r="A230" s="142" t="s">
        <v>223</v>
      </c>
      <c r="B230" s="142" t="s">
        <v>224</v>
      </c>
      <c r="C230" s="394"/>
      <c r="D230" s="950"/>
      <c r="E230" s="344"/>
      <c r="F230" s="79" t="str">
        <f>INDEX(PT_DIFFERENTIATION_VTAR,MATCH(A230,PT_DIFFERENTIATION_VTAR_ID,0))</f>
        <v xml:space="preserve">Тариф на транспортировку воды</v>
      </c>
      <c r="G230" s="863" t="str">
        <f>INDEX(PT_DIFFERENTIATION_NTAR,MATCH(B230,PT_DIFFERENTIATION_NTAR_ID,0))</f>
        <v/>
      </c>
      <c r="H230" s="416"/>
      <c r="I230" s="939"/>
      <c r="J230" s="940"/>
      <c r="K230" s="432"/>
      <c r="L230" s="416" t="s">
        <v>294</v>
      </c>
      <c r="M230" s="933"/>
      <c r="N230" s="758"/>
      <c r="O230" s="128"/>
      <c r="P230" s="128"/>
    </row>
    <row r="231" s="50" customFormat="1" ht="18.75" hidden="1" customHeight="1">
      <c r="A231" s="142"/>
      <c r="B231" s="142"/>
      <c r="C231" s="394" t="s">
        <v>1045</v>
      </c>
      <c r="D231" s="950"/>
      <c r="E231" s="344"/>
      <c r="F231" s="79"/>
      <c r="G231" s="863"/>
      <c r="H231" s="681"/>
      <c r="I231" s="179" t="s">
        <v>1044</v>
      </c>
      <c r="J231" s="236"/>
      <c r="K231" s="681"/>
      <c r="L231" s="928"/>
      <c r="M231" s="933"/>
      <c r="N231" s="758"/>
      <c r="O231" s="128"/>
      <c r="P231" s="128"/>
    </row>
    <row r="232" s="50" customFormat="1" ht="0.75" hidden="1" customHeight="1">
      <c r="A232" s="142"/>
      <c r="B232" s="142"/>
      <c r="C232" s="394" t="s">
        <v>1052</v>
      </c>
      <c r="D232" s="950"/>
      <c r="E232" s="344"/>
      <c r="F232" s="79"/>
      <c r="G232" s="949"/>
      <c r="H232" s="681"/>
      <c r="I232" s="179"/>
      <c r="J232" s="236"/>
      <c r="K232" s="681"/>
      <c r="L232" s="928"/>
      <c r="M232" s="933"/>
      <c r="N232" s="758"/>
      <c r="O232" s="128"/>
      <c r="P232" s="128"/>
    </row>
    <row r="233" s="50" customFormat="1" ht="18.75" hidden="1" customHeight="1">
      <c r="A233" s="142" t="s">
        <v>228</v>
      </c>
      <c r="B233" s="142" t="s">
        <v>229</v>
      </c>
      <c r="C233" s="394"/>
      <c r="D233" s="950"/>
      <c r="E233" s="344"/>
      <c r="F233" s="79" t="str">
        <f>INDEX(PT_DIFFERENTIATION_VTAR,MATCH(A233,PT_DIFFERENTIATION_VTAR_ID,0))</f>
        <v xml:space="preserve">Тариф на подвоз воды</v>
      </c>
      <c r="G233" s="863" t="str">
        <f>INDEX(PT_DIFFERENTIATION_NTAR,MATCH(B233,PT_DIFFERENTIATION_NTAR_ID,0))</f>
        <v/>
      </c>
      <c r="H233" s="416"/>
      <c r="I233" s="939"/>
      <c r="J233" s="940"/>
      <c r="K233" s="432"/>
      <c r="L233" s="416" t="s">
        <v>294</v>
      </c>
      <c r="M233" s="933"/>
      <c r="N233" s="758"/>
      <c r="O233" s="128"/>
      <c r="P233" s="128"/>
    </row>
    <row r="234" s="50" customFormat="1" ht="18.75" hidden="1" customHeight="1">
      <c r="A234" s="142"/>
      <c r="B234" s="142"/>
      <c r="C234" s="394" t="s">
        <v>1045</v>
      </c>
      <c r="D234" s="950"/>
      <c r="E234" s="344"/>
      <c r="F234" s="79"/>
      <c r="G234" s="863"/>
      <c r="H234" s="681"/>
      <c r="I234" s="179" t="s">
        <v>1044</v>
      </c>
      <c r="J234" s="236"/>
      <c r="K234" s="681"/>
      <c r="L234" s="928"/>
      <c r="M234" s="933"/>
      <c r="N234" s="758"/>
      <c r="O234" s="128"/>
      <c r="P234" s="128"/>
    </row>
    <row r="235" s="50" customFormat="1" ht="0.75" hidden="1" customHeight="1">
      <c r="A235" s="142"/>
      <c r="B235" s="142"/>
      <c r="C235" s="394" t="s">
        <v>1052</v>
      </c>
      <c r="D235" s="950"/>
      <c r="E235" s="344"/>
      <c r="F235" s="79"/>
      <c r="G235" s="949"/>
      <c r="H235" s="681"/>
      <c r="I235" s="179"/>
      <c r="J235" s="236"/>
      <c r="K235" s="681"/>
      <c r="L235" s="928"/>
      <c r="M235" s="933"/>
      <c r="N235" s="758"/>
      <c r="O235" s="128"/>
      <c r="P235" s="128"/>
    </row>
    <row r="236" s="50" customFormat="1" ht="18.75" hidden="1" customHeight="1">
      <c r="A236" s="142" t="s">
        <v>233</v>
      </c>
      <c r="B236" s="142" t="s">
        <v>234</v>
      </c>
      <c r="C236" s="394"/>
      <c r="D236" s="950"/>
      <c r="E236" s="344"/>
      <c r="F236" s="79" t="str">
        <f>INDEX(PT_DIFFERENTIATION_VTAR,MATCH(A236,PT_DIFFERENTIATION_VTAR_ID,0))</f>
        <v xml:space="preserve">Тариф на подключение (технологическое присоединение) к централизованной системе холодного водоснабжения</v>
      </c>
      <c r="G236" s="863" t="str">
        <f>INDEX(PT_DIFFERENTIATION_NTAR,MATCH(B236,PT_DIFFERENTIATION_NTAR_ID,0))</f>
        <v/>
      </c>
      <c r="H236" s="416"/>
      <c r="I236" s="939"/>
      <c r="J236" s="940"/>
      <c r="K236" s="432"/>
      <c r="L236" s="416" t="s">
        <v>294</v>
      </c>
      <c r="M236" s="933"/>
      <c r="N236" s="758"/>
      <c r="O236" s="128"/>
      <c r="P236" s="128"/>
    </row>
    <row r="237" s="50" customFormat="1" ht="18.75" hidden="1" customHeight="1">
      <c r="A237" s="142"/>
      <c r="B237" s="142"/>
      <c r="C237" s="394" t="s">
        <v>1045</v>
      </c>
      <c r="D237" s="950"/>
      <c r="E237" s="344"/>
      <c r="F237" s="79"/>
      <c r="G237" s="863"/>
      <c r="H237" s="681"/>
      <c r="I237" s="179" t="s">
        <v>1044</v>
      </c>
      <c r="J237" s="236"/>
      <c r="K237" s="681"/>
      <c r="L237" s="928"/>
      <c r="M237" s="933"/>
      <c r="N237" s="758"/>
      <c r="O237" s="128"/>
      <c r="P237" s="128"/>
    </row>
    <row r="238" s="50" customFormat="1" ht="0.75" hidden="1" customHeight="1">
      <c r="A238" s="142"/>
      <c r="B238" s="142"/>
      <c r="C238" s="394" t="s">
        <v>1052</v>
      </c>
      <c r="D238" s="950"/>
      <c r="E238" s="344"/>
      <c r="F238" s="79"/>
      <c r="G238" s="949"/>
      <c r="H238" s="681"/>
      <c r="I238" s="179"/>
      <c r="J238" s="236"/>
      <c r="K238" s="681"/>
      <c r="L238" s="928"/>
      <c r="M238" s="933"/>
      <c r="N238" s="758"/>
      <c r="O238" s="128"/>
      <c r="P238" s="128"/>
    </row>
    <row r="239" s="50" customFormat="1" ht="18.75" hidden="1" customHeight="1">
      <c r="A239" s="142" t="s">
        <v>238</v>
      </c>
      <c r="B239" s="142" t="s">
        <v>239</v>
      </c>
      <c r="C239" s="394"/>
      <c r="D239" s="950"/>
      <c r="E239" s="344"/>
      <c r="F239" s="79" t="str">
        <f>INDEX(PT_DIFFERENTIATION_VTAR,MATCH(A239,PT_DIFFERENTIATION_VTAR_ID,0))</f>
        <v xml:space="preserve">Тариф на горячую воду (горячее водоснабжение)</v>
      </c>
      <c r="G239" s="863" t="str">
        <f>INDEX(PT_DIFFERENTIATION_NTAR,MATCH(B239,PT_DIFFERENTIATION_NTAR_ID,0))</f>
        <v/>
      </c>
      <c r="H239" s="416"/>
      <c r="I239" s="939"/>
      <c r="J239" s="940"/>
      <c r="K239" s="432"/>
      <c r="L239" s="416" t="s">
        <v>294</v>
      </c>
      <c r="M239" s="933"/>
      <c r="N239" s="758"/>
      <c r="O239" s="128"/>
      <c r="P239" s="128"/>
    </row>
    <row r="240" s="50" customFormat="1" ht="18.75" hidden="1" customHeight="1">
      <c r="A240" s="142"/>
      <c r="B240" s="142"/>
      <c r="C240" s="394" t="s">
        <v>1045</v>
      </c>
      <c r="D240" s="950"/>
      <c r="E240" s="344"/>
      <c r="F240" s="79"/>
      <c r="G240" s="863"/>
      <c r="H240" s="681"/>
      <c r="I240" s="179" t="s">
        <v>1044</v>
      </c>
      <c r="J240" s="236"/>
      <c r="K240" s="681"/>
      <c r="L240" s="928"/>
      <c r="M240" s="933"/>
      <c r="N240" s="758"/>
      <c r="O240" s="128"/>
      <c r="P240" s="128"/>
    </row>
    <row r="241" s="50" customFormat="1" ht="0.75" hidden="1" customHeight="1">
      <c r="A241" s="142"/>
      <c r="B241" s="142"/>
      <c r="C241" s="394" t="s">
        <v>1052</v>
      </c>
      <c r="D241" s="950"/>
      <c r="E241" s="344"/>
      <c r="F241" s="79"/>
      <c r="G241" s="949"/>
      <c r="H241" s="681"/>
      <c r="I241" s="179"/>
      <c r="J241" s="236"/>
      <c r="K241" s="681"/>
      <c r="L241" s="928"/>
      <c r="M241" s="933"/>
      <c r="N241" s="758"/>
      <c r="O241" s="128"/>
      <c r="P241" s="128"/>
    </row>
    <row r="242" s="50" customFormat="1" ht="18.75" hidden="1" customHeight="1">
      <c r="A242" s="142" t="s">
        <v>243</v>
      </c>
      <c r="B242" s="142" t="s">
        <v>244</v>
      </c>
      <c r="C242" s="394"/>
      <c r="D242" s="950"/>
      <c r="E242" s="344"/>
      <c r="F242" s="79" t="str">
        <f>INDEX(PT_DIFFERENTIATION_VTAR,MATCH(A242,PT_DIFFERENTIATION_VTAR_ID,0))</f>
        <v xml:space="preserve">Тариф на транспортировку горячей воды</v>
      </c>
      <c r="G242" s="863" t="str">
        <f>INDEX(PT_DIFFERENTIATION_NTAR,MATCH(B242,PT_DIFFERENTIATION_NTAR_ID,0))</f>
        <v/>
      </c>
      <c r="H242" s="416"/>
      <c r="I242" s="939"/>
      <c r="J242" s="940"/>
      <c r="K242" s="432"/>
      <c r="L242" s="416" t="s">
        <v>294</v>
      </c>
      <c r="M242" s="933"/>
      <c r="N242" s="758"/>
      <c r="O242" s="128"/>
      <c r="P242" s="128"/>
    </row>
    <row r="243" s="50" customFormat="1" ht="18.75" hidden="1" customHeight="1">
      <c r="A243" s="142"/>
      <c r="B243" s="142"/>
      <c r="C243" s="394" t="s">
        <v>1045</v>
      </c>
      <c r="D243" s="950"/>
      <c r="E243" s="344"/>
      <c r="F243" s="79"/>
      <c r="G243" s="863"/>
      <c r="H243" s="681"/>
      <c r="I243" s="179" t="s">
        <v>1044</v>
      </c>
      <c r="J243" s="236"/>
      <c r="K243" s="681"/>
      <c r="L243" s="928"/>
      <c r="M243" s="933"/>
      <c r="N243" s="758"/>
      <c r="O243" s="128"/>
      <c r="P243" s="128"/>
    </row>
    <row r="244" s="50" customFormat="1" ht="0.75" hidden="1" customHeight="1">
      <c r="A244" s="142"/>
      <c r="B244" s="142"/>
      <c r="C244" s="394" t="s">
        <v>1052</v>
      </c>
      <c r="D244" s="950"/>
      <c r="E244" s="344"/>
      <c r="F244" s="79"/>
      <c r="G244" s="949"/>
      <c r="H244" s="681"/>
      <c r="I244" s="179"/>
      <c r="J244" s="236"/>
      <c r="K244" s="681"/>
      <c r="L244" s="928"/>
      <c r="M244" s="933"/>
      <c r="N244" s="758"/>
      <c r="O244" s="128"/>
      <c r="P244" s="128"/>
    </row>
    <row r="245" s="50" customFormat="1" ht="18.75" hidden="1" customHeight="1">
      <c r="A245" s="142" t="s">
        <v>248</v>
      </c>
      <c r="B245" s="142" t="s">
        <v>249</v>
      </c>
      <c r="C245" s="394"/>
      <c r="D245" s="950"/>
      <c r="E245" s="344"/>
      <c r="F245" s="79" t="str">
        <f>INDEX(PT_DIFFERENTIATION_VTAR,MATCH(A245,PT_DIFFERENTIATION_VTAR_ID,0))</f>
        <v xml:space="preserve">Тариф на подключение (технологическое присоединение) к централизованной системе горячего водоснабжения</v>
      </c>
      <c r="G245" s="863" t="str">
        <f>INDEX(PT_DIFFERENTIATION_NTAR,MATCH(B245,PT_DIFFERENTIATION_NTAR_ID,0))</f>
        <v/>
      </c>
      <c r="H245" s="416"/>
      <c r="I245" s="939"/>
      <c r="J245" s="940"/>
      <c r="K245" s="432"/>
      <c r="L245" s="416" t="s">
        <v>294</v>
      </c>
      <c r="M245" s="933"/>
      <c r="N245" s="758"/>
      <c r="O245" s="128"/>
      <c r="P245" s="128"/>
    </row>
    <row r="246" s="50" customFormat="1" ht="18.75" hidden="1" customHeight="1">
      <c r="A246" s="142"/>
      <c r="B246" s="142"/>
      <c r="C246" s="394" t="s">
        <v>1045</v>
      </c>
      <c r="D246" s="950"/>
      <c r="E246" s="344"/>
      <c r="F246" s="79"/>
      <c r="G246" s="863"/>
      <c r="H246" s="681"/>
      <c r="I246" s="179" t="s">
        <v>1044</v>
      </c>
      <c r="J246" s="236"/>
      <c r="K246" s="681"/>
      <c r="L246" s="928"/>
      <c r="M246" s="933"/>
      <c r="N246" s="758"/>
      <c r="O246" s="128"/>
      <c r="P246" s="128"/>
    </row>
    <row r="247" s="50" customFormat="1" ht="0.75" hidden="1" customHeight="1">
      <c r="A247" s="142"/>
      <c r="B247" s="142"/>
      <c r="C247" s="394" t="s">
        <v>1052</v>
      </c>
      <c r="D247" s="950"/>
      <c r="E247" s="344"/>
      <c r="F247" s="79"/>
      <c r="G247" s="949"/>
      <c r="H247" s="681"/>
      <c r="I247" s="179"/>
      <c r="J247" s="236"/>
      <c r="K247" s="681"/>
      <c r="L247" s="928"/>
      <c r="M247" s="933"/>
      <c r="N247" s="758"/>
      <c r="O247" s="128"/>
      <c r="P247" s="128"/>
    </row>
    <row r="248" s="50" customFormat="1" ht="18.75" hidden="1" customHeight="1">
      <c r="A248" s="142" t="s">
        <v>253</v>
      </c>
      <c r="B248" s="142" t="s">
        <v>254</v>
      </c>
      <c r="C248" s="394"/>
      <c r="D248" s="950"/>
      <c r="E248" s="344"/>
      <c r="F248" s="79" t="str">
        <f>INDEX(PT_DIFFERENTIATION_VTAR,MATCH(A248,PT_DIFFERENTIATION_VTAR_ID,0))</f>
        <v xml:space="preserve">Тариф на водоотведение</v>
      </c>
      <c r="G248" s="863" t="str">
        <f>INDEX(PT_DIFFERENTIATION_NTAR,MATCH(B248,PT_DIFFERENTIATION_NTAR_ID,0))</f>
        <v/>
      </c>
      <c r="H248" s="416"/>
      <c r="I248" s="939"/>
      <c r="J248" s="940"/>
      <c r="K248" s="432"/>
      <c r="L248" s="416" t="s">
        <v>294</v>
      </c>
      <c r="M248" s="933"/>
      <c r="N248" s="758"/>
      <c r="O248" s="128"/>
      <c r="P248" s="128"/>
    </row>
    <row r="249" s="50" customFormat="1" ht="18.75" hidden="1" customHeight="1">
      <c r="A249" s="142"/>
      <c r="B249" s="142"/>
      <c r="C249" s="394" t="s">
        <v>1045</v>
      </c>
      <c r="D249" s="950"/>
      <c r="E249" s="344"/>
      <c r="F249" s="79"/>
      <c r="G249" s="863"/>
      <c r="H249" s="681"/>
      <c r="I249" s="179" t="s">
        <v>1044</v>
      </c>
      <c r="J249" s="236"/>
      <c r="K249" s="681"/>
      <c r="L249" s="928"/>
      <c r="M249" s="933"/>
      <c r="N249" s="758"/>
      <c r="O249" s="128"/>
      <c r="P249" s="128"/>
    </row>
    <row r="250" s="50" customFormat="1" ht="0.75" hidden="1" customHeight="1">
      <c r="A250" s="142"/>
      <c r="B250" s="142"/>
      <c r="C250" s="394" t="s">
        <v>1052</v>
      </c>
      <c r="D250" s="950"/>
      <c r="E250" s="344"/>
      <c r="F250" s="79"/>
      <c r="G250" s="949"/>
      <c r="H250" s="681"/>
      <c r="I250" s="179"/>
      <c r="J250" s="236"/>
      <c r="K250" s="681"/>
      <c r="L250" s="928"/>
      <c r="M250" s="933"/>
      <c r="N250" s="758"/>
      <c r="O250" s="128"/>
      <c r="P250" s="128"/>
    </row>
    <row r="251" s="50" customFormat="1" ht="18.75" hidden="1" customHeight="1">
      <c r="A251" s="142" t="s">
        <v>258</v>
      </c>
      <c r="B251" s="142" t="s">
        <v>259</v>
      </c>
      <c r="C251" s="394"/>
      <c r="D251" s="950"/>
      <c r="E251" s="344"/>
      <c r="F251" s="79" t="str">
        <f>INDEX(PT_DIFFERENTIATION_VTAR,MATCH(A251,PT_DIFFERENTIATION_VTAR_ID,0))</f>
        <v xml:space="preserve">Тариф на транспортировку сточных вод</v>
      </c>
      <c r="G251" s="863" t="str">
        <f>INDEX(PT_DIFFERENTIATION_NTAR,MATCH(B251,PT_DIFFERENTIATION_NTAR_ID,0))</f>
        <v/>
      </c>
      <c r="H251" s="416"/>
      <c r="I251" s="939"/>
      <c r="J251" s="940"/>
      <c r="K251" s="432"/>
      <c r="L251" s="416" t="s">
        <v>294</v>
      </c>
      <c r="M251" s="933"/>
      <c r="N251" s="758"/>
      <c r="O251" s="128"/>
      <c r="P251" s="128"/>
    </row>
    <row r="252" s="50" customFormat="1" ht="18.75" hidden="1" customHeight="1">
      <c r="A252" s="142"/>
      <c r="B252" s="142"/>
      <c r="C252" s="394" t="s">
        <v>1045</v>
      </c>
      <c r="D252" s="950"/>
      <c r="E252" s="344"/>
      <c r="F252" s="79"/>
      <c r="G252" s="863"/>
      <c r="H252" s="681"/>
      <c r="I252" s="179" t="s">
        <v>1044</v>
      </c>
      <c r="J252" s="236"/>
      <c r="K252" s="681"/>
      <c r="L252" s="928"/>
      <c r="M252" s="933"/>
      <c r="N252" s="758"/>
      <c r="O252" s="128"/>
      <c r="P252" s="128"/>
    </row>
    <row r="253" s="50" customFormat="1" ht="0.75" hidden="1" customHeight="1">
      <c r="A253" s="142"/>
      <c r="B253" s="142"/>
      <c r="C253" s="394" t="s">
        <v>1052</v>
      </c>
      <c r="D253" s="950"/>
      <c r="E253" s="344"/>
      <c r="F253" s="79"/>
      <c r="G253" s="949"/>
      <c r="H253" s="681"/>
      <c r="I253" s="179"/>
      <c r="J253" s="236"/>
      <c r="K253" s="681"/>
      <c r="L253" s="928"/>
      <c r="M253" s="933"/>
      <c r="N253" s="758"/>
      <c r="O253" s="128"/>
      <c r="P253" s="128"/>
    </row>
    <row r="254" s="50" customFormat="1" ht="18.75" hidden="1" customHeight="1">
      <c r="A254" s="142" t="s">
        <v>263</v>
      </c>
      <c r="B254" s="142" t="s">
        <v>264</v>
      </c>
      <c r="C254" s="394"/>
      <c r="D254" s="950"/>
      <c r="E254" s="344"/>
      <c r="F254" s="79" t="str">
        <f>INDEX(PT_DIFFERENTIATION_VTAR,MATCH(A254,PT_DIFFERENTIATION_VTAR_ID,0))</f>
        <v xml:space="preserve">Тариф на подключение (технологическое присоединение) к централизованной системе водоотведения</v>
      </c>
      <c r="G254" s="863" t="str">
        <f>INDEX(PT_DIFFERENTIATION_NTAR,MATCH(B254,PT_DIFFERENTIATION_NTAR_ID,0))</f>
        <v/>
      </c>
      <c r="H254" s="416"/>
      <c r="I254" s="939"/>
      <c r="J254" s="940"/>
      <c r="K254" s="432"/>
      <c r="L254" s="416" t="s">
        <v>294</v>
      </c>
      <c r="M254" s="933"/>
      <c r="N254" s="758"/>
      <c r="O254" s="128"/>
      <c r="P254" s="128"/>
    </row>
    <row r="255" s="50" customFormat="1" ht="18.75" hidden="1" customHeight="1">
      <c r="A255" s="142"/>
      <c r="B255" s="142"/>
      <c r="C255" s="394" t="s">
        <v>1045</v>
      </c>
      <c r="D255" s="950"/>
      <c r="E255" s="344"/>
      <c r="F255" s="79"/>
      <c r="G255" s="863"/>
      <c r="H255" s="681"/>
      <c r="I255" s="179" t="s">
        <v>1044</v>
      </c>
      <c r="J255" s="236"/>
      <c r="K255" s="681"/>
      <c r="L255" s="928"/>
      <c r="M255" s="933"/>
      <c r="N255" s="758"/>
      <c r="O255" s="128"/>
      <c r="P255" s="128"/>
    </row>
    <row r="256" s="50" customFormat="1" ht="0.75" customHeight="1">
      <c r="A256" s="142"/>
      <c r="B256" s="142"/>
      <c r="C256" s="394" t="s">
        <v>1052</v>
      </c>
      <c r="D256" s="950"/>
      <c r="E256" s="344"/>
      <c r="F256" s="79"/>
      <c r="G256" s="949"/>
      <c r="H256" s="681"/>
      <c r="I256" s="179"/>
      <c r="J256" s="236"/>
      <c r="K256" s="681"/>
      <c r="L256" s="928"/>
      <c r="M256" s="933"/>
      <c r="N256" s="758"/>
      <c r="O256" s="128"/>
      <c r="P256" s="128"/>
    </row>
    <row r="257" ht="25.5" customHeight="1">
      <c r="A257" s="142"/>
      <c r="B257" s="142"/>
      <c r="D257" s="537"/>
      <c r="E257" s="344" t="s">
        <v>89</v>
      </c>
      <c r="F257" s="9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 xml:space="preserve">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937"/>
      <c r="H257" s="937"/>
      <c r="I257" s="937"/>
      <c r="J257" s="937"/>
      <c r="K257" s="937"/>
      <c r="L257" s="937"/>
      <c r="M257" s="918"/>
      <c r="N257" s="758"/>
    </row>
    <row r="258" s="50" customFormat="1" ht="60.75" hidden="1" customHeight="1">
      <c r="A258" s="142" t="s">
        <v>157</v>
      </c>
      <c r="B258" s="142" t="s">
        <v>158</v>
      </c>
      <c r="C258" s="394"/>
      <c r="D258" s="950"/>
      <c r="E258" s="344"/>
      <c r="F258" s="79" t="str">
        <f>INDEX(PT_DIFFERENTIATION_VTAR,MATCH(A258,PT_DIFFERENTIATION_VTAR_ID,0))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863" t="str">
        <f>INDEX(PT_DIFFERENTIATION_NTAR,MATCH(B258,PT_DIFFERENTIATION_NTAR_ID,0))</f>
        <v/>
      </c>
      <c r="H258" s="416"/>
      <c r="I258" s="939"/>
      <c r="J258" s="940"/>
      <c r="K258" s="432"/>
      <c r="L258" s="416" t="s">
        <v>294</v>
      </c>
      <c r="M258" s="2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758"/>
      <c r="O258" s="128"/>
      <c r="P258" s="128"/>
    </row>
    <row r="259" s="50" customFormat="1" ht="18.75" hidden="1" customHeight="1">
      <c r="A259" s="142"/>
      <c r="B259" s="142"/>
      <c r="C259" s="394" t="s">
        <v>1045</v>
      </c>
      <c r="D259" s="950"/>
      <c r="E259" s="344"/>
      <c r="F259" s="79"/>
      <c r="G259" s="863"/>
      <c r="H259" s="681"/>
      <c r="I259" s="179" t="s">
        <v>1044</v>
      </c>
      <c r="J259" s="236"/>
      <c r="K259" s="681"/>
      <c r="L259" s="928"/>
      <c r="M259" s="286"/>
      <c r="N259" s="758"/>
      <c r="O259" s="128"/>
      <c r="P259" s="128"/>
    </row>
    <row r="260" s="50" customFormat="1" ht="0.75" hidden="1" customHeight="1">
      <c r="A260" s="142"/>
      <c r="B260" s="142"/>
      <c r="C260" s="394" t="s">
        <v>1052</v>
      </c>
      <c r="D260" s="950"/>
      <c r="E260" s="344"/>
      <c r="F260" s="79"/>
      <c r="G260" s="949"/>
      <c r="H260" s="681"/>
      <c r="I260" s="179"/>
      <c r="J260" s="236"/>
      <c r="K260" s="681"/>
      <c r="L260" s="928"/>
      <c r="M260" s="286"/>
      <c r="N260" s="758"/>
      <c r="O260" s="128"/>
      <c r="P260" s="128"/>
    </row>
    <row r="261" s="50" customFormat="1" ht="45" hidden="1" customHeight="1">
      <c r="A261" s="142" t="s">
        <v>163</v>
      </c>
      <c r="B261" s="142" t="s">
        <v>164</v>
      </c>
      <c r="C261" s="394"/>
      <c r="D261" s="950"/>
      <c r="E261" s="344"/>
      <c r="F261" s="79" t="str">
        <f>INDEX(PT_DIFFERENTIATION_VTAR,MATCH(A261,PT_DIFFERENTIATION_VTAR_ID,0))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61" s="863" t="str">
        <f>INDEX(PT_DIFFERENTIATION_NTAR,MATCH(B261,PT_DIFFERENTIATION_NTAR_ID,0))</f>
        <v/>
      </c>
      <c r="H261" s="416"/>
      <c r="I261" s="939"/>
      <c r="J261" s="940"/>
      <c r="K261" s="432"/>
      <c r="L261" s="416" t="s">
        <v>294</v>
      </c>
      <c r="M261" s="288"/>
      <c r="N261" s="758"/>
      <c r="O261" s="128"/>
      <c r="P261" s="128"/>
    </row>
    <row r="262" s="50" customFormat="1" ht="18.75" hidden="1" customHeight="1">
      <c r="A262" s="142"/>
      <c r="B262" s="142"/>
      <c r="C262" s="394" t="s">
        <v>1045</v>
      </c>
      <c r="D262" s="950"/>
      <c r="E262" s="344"/>
      <c r="F262" s="79"/>
      <c r="G262" s="863"/>
      <c r="H262" s="681"/>
      <c r="I262" s="179" t="s">
        <v>1044</v>
      </c>
      <c r="J262" s="236"/>
      <c r="K262" s="681"/>
      <c r="L262" s="928"/>
      <c r="M262" s="286"/>
      <c r="N262" s="758"/>
      <c r="O262" s="128"/>
      <c r="P262" s="128"/>
    </row>
    <row r="263" s="50" customFormat="1" ht="0.75" hidden="1" customHeight="1">
      <c r="A263" s="142"/>
      <c r="B263" s="142"/>
      <c r="C263" s="394" t="s">
        <v>1052</v>
      </c>
      <c r="D263" s="950"/>
      <c r="E263" s="344"/>
      <c r="F263" s="79"/>
      <c r="G263" s="949"/>
      <c r="H263" s="681"/>
      <c r="I263" s="179"/>
      <c r="J263" s="236"/>
      <c r="K263" s="681"/>
      <c r="L263" s="928"/>
      <c r="M263" s="933"/>
      <c r="N263" s="758"/>
      <c r="O263" s="128"/>
      <c r="P263" s="128"/>
    </row>
    <row r="264" s="50" customFormat="1" ht="45" hidden="1" customHeight="1">
      <c r="A264" s="142" t="s">
        <v>169</v>
      </c>
      <c r="B264" s="142" t="s">
        <v>170</v>
      </c>
      <c r="C264" s="394"/>
      <c r="D264" s="950"/>
      <c r="E264" s="344"/>
      <c r="F264" s="79" t="str">
        <f>INDEX(PT_DIFFERENTIATION_VTAR,MATCH(A264,PT_DIFFERENTIATION_VTAR_ID,0))</f>
        <v xml:space="preserve">Тарифы на теплоноситель, поставляемый теплоснабжающими организациями потребителям, другим теплоснабжающим организациям</v>
      </c>
      <c r="G264" s="863" t="str">
        <f>INDEX(PT_DIFFERENTIATION_NTAR,MATCH(B264,PT_DIFFERENTIATION_NTAR_ID,0))</f>
        <v/>
      </c>
      <c r="H264" s="416"/>
      <c r="I264" s="939"/>
      <c r="J264" s="940"/>
      <c r="K264" s="432"/>
      <c r="L264" s="416" t="s">
        <v>294</v>
      </c>
      <c r="M264" s="933"/>
      <c r="N264" s="758"/>
      <c r="O264" s="128"/>
      <c r="P264" s="128"/>
    </row>
    <row r="265" s="50" customFormat="1" ht="18.75" hidden="1" customHeight="1">
      <c r="A265" s="142"/>
      <c r="B265" s="142"/>
      <c r="C265" s="394" t="s">
        <v>1045</v>
      </c>
      <c r="D265" s="950"/>
      <c r="E265" s="344"/>
      <c r="F265" s="79"/>
      <c r="G265" s="863"/>
      <c r="H265" s="681"/>
      <c r="I265" s="179" t="s">
        <v>1044</v>
      </c>
      <c r="J265" s="236"/>
      <c r="K265" s="681"/>
      <c r="L265" s="928"/>
      <c r="M265" s="933"/>
      <c r="N265" s="758"/>
      <c r="O265" s="128"/>
      <c r="P265" s="128"/>
    </row>
    <row r="266" s="50" customFormat="1" ht="0.75" hidden="1" customHeight="1">
      <c r="A266" s="142"/>
      <c r="B266" s="142"/>
      <c r="C266" s="394" t="s">
        <v>1052</v>
      </c>
      <c r="D266" s="950"/>
      <c r="E266" s="344"/>
      <c r="F266" s="79"/>
      <c r="G266" s="949"/>
      <c r="H266" s="681"/>
      <c r="I266" s="179"/>
      <c r="J266" s="236"/>
      <c r="K266" s="681"/>
      <c r="L266" s="928"/>
      <c r="M266" s="933"/>
      <c r="N266" s="758"/>
      <c r="O266" s="128"/>
      <c r="P266" s="128"/>
    </row>
    <row r="267" s="50" customFormat="1" ht="45" hidden="1" customHeight="1">
      <c r="A267" s="142" t="s">
        <v>175</v>
      </c>
      <c r="B267" s="142" t="s">
        <v>176</v>
      </c>
      <c r="C267" s="394"/>
      <c r="D267" s="950"/>
      <c r="E267" s="344"/>
      <c r="F267" s="79" t="str">
        <f>INDEX(PT_DIFFERENTIATION_VTAR,MATCH(A267,PT_DIFFERENTIATION_VTAR_ID,0))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863" t="str">
        <f>INDEX(PT_DIFFERENTIATION_NTAR,MATCH(B267,PT_DIFFERENTIATION_NTAR_ID,0))</f>
        <v/>
      </c>
      <c r="H267" s="416"/>
      <c r="I267" s="939"/>
      <c r="J267" s="940"/>
      <c r="K267" s="432"/>
      <c r="L267" s="416" t="s">
        <v>294</v>
      </c>
      <c r="M267" s="933"/>
      <c r="N267" s="758"/>
      <c r="O267" s="128"/>
      <c r="P267" s="128"/>
    </row>
    <row r="268" s="50" customFormat="1" ht="18.75" hidden="1" customHeight="1">
      <c r="A268" s="142"/>
      <c r="B268" s="142"/>
      <c r="C268" s="394" t="s">
        <v>1045</v>
      </c>
      <c r="D268" s="950"/>
      <c r="E268" s="344"/>
      <c r="F268" s="79"/>
      <c r="G268" s="863"/>
      <c r="H268" s="681"/>
      <c r="I268" s="179" t="s">
        <v>1044</v>
      </c>
      <c r="J268" s="236"/>
      <c r="K268" s="681"/>
      <c r="L268" s="928"/>
      <c r="M268" s="933"/>
      <c r="N268" s="758"/>
      <c r="O268" s="128"/>
      <c r="P268" s="128"/>
    </row>
    <row r="269" s="50" customFormat="1" ht="0.75" hidden="1" customHeight="1">
      <c r="A269" s="142"/>
      <c r="B269" s="142"/>
      <c r="C269" s="394" t="s">
        <v>1052</v>
      </c>
      <c r="D269" s="950"/>
      <c r="E269" s="344"/>
      <c r="F269" s="79"/>
      <c r="G269" s="949"/>
      <c r="H269" s="681"/>
      <c r="I269" s="179"/>
      <c r="J269" s="236"/>
      <c r="K269" s="681"/>
      <c r="L269" s="928"/>
      <c r="M269" s="933"/>
      <c r="N269" s="758"/>
      <c r="O269" s="128"/>
      <c r="P269" s="128"/>
    </row>
    <row r="270" s="50" customFormat="1" ht="18.75" hidden="1" customHeight="1">
      <c r="A270" s="142" t="s">
        <v>181</v>
      </c>
      <c r="B270" s="142" t="s">
        <v>182</v>
      </c>
      <c r="C270" s="394"/>
      <c r="D270" s="950"/>
      <c r="E270" s="344"/>
      <c r="F270" s="79" t="str">
        <f>INDEX(PT_DIFFERENTIATION_VTAR,MATCH(A270,PT_DIFFERENTIATION_VTAR_ID,0))</f>
        <v xml:space="preserve">Тарифы на услуги по передаче тепловой энергии</v>
      </c>
      <c r="G270" s="863" t="str">
        <f>INDEX(PT_DIFFERENTIATION_NTAR,MATCH(B270,PT_DIFFERENTIATION_NTAR_ID,0))</f>
        <v/>
      </c>
      <c r="H270" s="416"/>
      <c r="I270" s="939"/>
      <c r="J270" s="940"/>
      <c r="K270" s="432"/>
      <c r="L270" s="416" t="s">
        <v>294</v>
      </c>
      <c r="M270" s="933"/>
      <c r="N270" s="758"/>
      <c r="O270" s="128"/>
      <c r="P270" s="128"/>
    </row>
    <row r="271" s="50" customFormat="1" ht="18.75" hidden="1" customHeight="1">
      <c r="A271" s="142"/>
      <c r="B271" s="142"/>
      <c r="C271" s="394" t="s">
        <v>1045</v>
      </c>
      <c r="D271" s="950"/>
      <c r="E271" s="344"/>
      <c r="F271" s="79"/>
      <c r="G271" s="863"/>
      <c r="H271" s="681"/>
      <c r="I271" s="179" t="s">
        <v>1044</v>
      </c>
      <c r="J271" s="236"/>
      <c r="K271" s="681"/>
      <c r="L271" s="928"/>
      <c r="M271" s="933"/>
      <c r="N271" s="758"/>
      <c r="O271" s="128"/>
      <c r="P271" s="128"/>
    </row>
    <row r="272" s="50" customFormat="1" ht="0.75" hidden="1" customHeight="1">
      <c r="A272" s="142"/>
      <c r="B272" s="142"/>
      <c r="C272" s="394" t="s">
        <v>1052</v>
      </c>
      <c r="D272" s="950"/>
      <c r="E272" s="344"/>
      <c r="F272" s="79"/>
      <c r="G272" s="949"/>
      <c r="H272" s="681"/>
      <c r="I272" s="179"/>
      <c r="J272" s="236"/>
      <c r="K272" s="681"/>
      <c r="L272" s="928"/>
      <c r="M272" s="933"/>
      <c r="N272" s="758"/>
      <c r="O272" s="128"/>
      <c r="P272" s="128"/>
    </row>
    <row r="273" s="50" customFormat="1" ht="18.75" hidden="1" customHeight="1">
      <c r="A273" s="142" t="s">
        <v>187</v>
      </c>
      <c r="B273" s="142" t="s">
        <v>188</v>
      </c>
      <c r="C273" s="394"/>
      <c r="D273" s="950"/>
      <c r="E273" s="344"/>
      <c r="F273" s="79" t="str">
        <f>INDEX(PT_DIFFERENTIATION_VTAR,MATCH(A273,PT_DIFFERENTIATION_VTAR_ID,0))</f>
        <v xml:space="preserve">Тарифы на услуги по передаче теплоносителя</v>
      </c>
      <c r="G273" s="863" t="str">
        <f>INDEX(PT_DIFFERENTIATION_NTAR,MATCH(B273,PT_DIFFERENTIATION_NTAR_ID,0))</f>
        <v/>
      </c>
      <c r="H273" s="416"/>
      <c r="I273" s="939"/>
      <c r="J273" s="940"/>
      <c r="K273" s="432"/>
      <c r="L273" s="416" t="s">
        <v>294</v>
      </c>
      <c r="M273" s="933"/>
      <c r="N273" s="758"/>
      <c r="O273" s="128"/>
      <c r="P273" s="128"/>
    </row>
    <row r="274" s="50" customFormat="1" ht="18.75" hidden="1" customHeight="1">
      <c r="A274" s="142"/>
      <c r="B274" s="142"/>
      <c r="C274" s="394" t="s">
        <v>1045</v>
      </c>
      <c r="D274" s="950"/>
      <c r="E274" s="344"/>
      <c r="F274" s="79"/>
      <c r="G274" s="863"/>
      <c r="H274" s="681"/>
      <c r="I274" s="179" t="s">
        <v>1044</v>
      </c>
      <c r="J274" s="236"/>
      <c r="K274" s="681"/>
      <c r="L274" s="928"/>
      <c r="M274" s="933"/>
      <c r="N274" s="758"/>
      <c r="O274" s="128"/>
      <c r="P274" s="128"/>
    </row>
    <row r="275" s="50" customFormat="1" ht="0.75" hidden="1" customHeight="1">
      <c r="A275" s="142"/>
      <c r="B275" s="142"/>
      <c r="C275" s="394" t="s">
        <v>1052</v>
      </c>
      <c r="D275" s="950"/>
      <c r="E275" s="344"/>
      <c r="F275" s="79"/>
      <c r="G275" s="949"/>
      <c r="H275" s="681"/>
      <c r="I275" s="179"/>
      <c r="J275" s="236"/>
      <c r="K275" s="681"/>
      <c r="L275" s="928"/>
      <c r="M275" s="933"/>
      <c r="N275" s="758"/>
      <c r="O275" s="128"/>
      <c r="P275" s="128"/>
    </row>
    <row r="276" s="50" customFormat="1" ht="18.75" hidden="1" customHeight="1">
      <c r="A276" s="142" t="s">
        <v>193</v>
      </c>
      <c r="B276" s="142" t="s">
        <v>194</v>
      </c>
      <c r="C276" s="394"/>
      <c r="D276" s="950"/>
      <c r="E276" s="344"/>
      <c r="F276" s="79" t="str">
        <f>INDEX(PT_DIFFERENTIATION_VTAR,MATCH(A276,PT_DIFFERENTIATION_VTAR_ID,0))</f>
        <v xml:space="preserve">Плата за услуги по поддержанию резервной тепловой мощности при отсутствии потребления тепловой энергии</v>
      </c>
      <c r="G276" s="863" t="str">
        <f>INDEX(PT_DIFFERENTIATION_NTAR,MATCH(B276,PT_DIFFERENTIATION_NTAR_ID,0))</f>
        <v/>
      </c>
      <c r="H276" s="416"/>
      <c r="I276" s="939"/>
      <c r="J276" s="940"/>
      <c r="K276" s="432"/>
      <c r="L276" s="416" t="s">
        <v>294</v>
      </c>
      <c r="M276" s="933"/>
      <c r="N276" s="758"/>
      <c r="O276" s="128"/>
      <c r="P276" s="128"/>
    </row>
    <row r="277" s="50" customFormat="1" ht="18.75" hidden="1" customHeight="1">
      <c r="A277" s="142"/>
      <c r="B277" s="142"/>
      <c r="C277" s="394" t="s">
        <v>1045</v>
      </c>
      <c r="D277" s="950"/>
      <c r="E277" s="344"/>
      <c r="F277" s="79"/>
      <c r="G277" s="863"/>
      <c r="H277" s="681"/>
      <c r="I277" s="179" t="s">
        <v>1044</v>
      </c>
      <c r="J277" s="236"/>
      <c r="K277" s="681"/>
      <c r="L277" s="928"/>
      <c r="M277" s="933"/>
      <c r="N277" s="758"/>
      <c r="O277" s="128"/>
      <c r="P277" s="128"/>
    </row>
    <row r="278" s="50" customFormat="1" ht="0.75" hidden="1" customHeight="1">
      <c r="A278" s="142"/>
      <c r="B278" s="142"/>
      <c r="C278" s="394" t="s">
        <v>1052</v>
      </c>
      <c r="D278" s="950"/>
      <c r="E278" s="344"/>
      <c r="F278" s="79"/>
      <c r="G278" s="949"/>
      <c r="H278" s="681"/>
      <c r="I278" s="179"/>
      <c r="J278" s="236"/>
      <c r="K278" s="681"/>
      <c r="L278" s="928"/>
      <c r="M278" s="933"/>
      <c r="N278" s="758"/>
      <c r="O278" s="128"/>
      <c r="P278" s="128"/>
    </row>
    <row r="279" s="50" customFormat="1" ht="18.75" hidden="1" customHeight="1">
      <c r="A279" s="142" t="s">
        <v>199</v>
      </c>
      <c r="B279" s="142" t="s">
        <v>200</v>
      </c>
      <c r="C279" s="394"/>
      <c r="D279" s="950"/>
      <c r="E279" s="344"/>
      <c r="F279" s="79" t="str">
        <f>INDEX(PT_DIFFERENTIATION_VTAR,MATCH(A279,PT_DIFFERENTIATION_VTAR_ID,0))</f>
        <v xml:space="preserve">Плата за подключение (технологическое присоединение) к системе теплоснабжения</v>
      </c>
      <c r="G279" s="863" t="str">
        <f>INDEX(PT_DIFFERENTIATION_NTAR,MATCH(B279,PT_DIFFERENTIATION_NTAR_ID,0))</f>
        <v/>
      </c>
      <c r="H279" s="416"/>
      <c r="I279" s="939"/>
      <c r="J279" s="940"/>
      <c r="K279" s="432"/>
      <c r="L279" s="416" t="s">
        <v>294</v>
      </c>
      <c r="M279" s="933"/>
      <c r="N279" s="758"/>
      <c r="O279" s="128"/>
      <c r="P279" s="128"/>
    </row>
    <row r="280" s="50" customFormat="1" ht="18.75" hidden="1" customHeight="1">
      <c r="A280" s="142"/>
      <c r="B280" s="142"/>
      <c r="C280" s="394" t="s">
        <v>1045</v>
      </c>
      <c r="D280" s="950"/>
      <c r="E280" s="344"/>
      <c r="F280" s="79"/>
      <c r="G280" s="863"/>
      <c r="H280" s="681"/>
      <c r="I280" s="179" t="s">
        <v>1044</v>
      </c>
      <c r="J280" s="236"/>
      <c r="K280" s="681"/>
      <c r="L280" s="928"/>
      <c r="M280" s="933"/>
      <c r="N280" s="758"/>
      <c r="O280" s="128"/>
      <c r="P280" s="128"/>
    </row>
    <row r="281" s="50" customFormat="1" ht="0.75" hidden="1" customHeight="1">
      <c r="A281" s="142"/>
      <c r="B281" s="142"/>
      <c r="C281" s="394" t="s">
        <v>1052</v>
      </c>
      <c r="D281" s="950"/>
      <c r="E281" s="344"/>
      <c r="F281" s="79"/>
      <c r="G281" s="949"/>
      <c r="H281" s="681"/>
      <c r="I281" s="179"/>
      <c r="J281" s="236"/>
      <c r="K281" s="681"/>
      <c r="L281" s="928"/>
      <c r="M281" s="933"/>
      <c r="N281" s="758"/>
      <c r="O281" s="128"/>
      <c r="P281" s="128"/>
    </row>
    <row r="282" s="50" customFormat="1" ht="18.75" hidden="1" customHeight="1">
      <c r="A282" s="142" t="s">
        <v>213</v>
      </c>
      <c r="B282" s="142" t="s">
        <v>214</v>
      </c>
      <c r="C282" s="394"/>
      <c r="D282" s="950"/>
      <c r="E282" s="344"/>
      <c r="F282" s="79" t="str">
        <f>INDEX(PT_DIFFERENTIATION_VTAR,MATCH(A282,PT_DIFFERENTIATION_VTAR_ID,0))</f>
        <v xml:space="preserve">Тариф на питьевую воду (питьевое водоснабжение)</v>
      </c>
      <c r="G282" s="863" t="str">
        <f>INDEX(PT_DIFFERENTIATION_NTAR,MATCH(B282,PT_DIFFERENTIATION_NTAR_ID,0))</f>
        <v/>
      </c>
      <c r="H282" s="416"/>
      <c r="I282" s="939"/>
      <c r="J282" s="940"/>
      <c r="K282" s="432"/>
      <c r="L282" s="416" t="s">
        <v>294</v>
      </c>
      <c r="M282" s="933"/>
      <c r="N282" s="758"/>
      <c r="O282" s="128"/>
      <c r="P282" s="128"/>
    </row>
    <row r="283" s="50" customFormat="1" ht="18.75" hidden="1" customHeight="1">
      <c r="A283" s="142"/>
      <c r="B283" s="142"/>
      <c r="C283" s="394" t="s">
        <v>1045</v>
      </c>
      <c r="D283" s="950"/>
      <c r="E283" s="344"/>
      <c r="F283" s="79"/>
      <c r="G283" s="863"/>
      <c r="H283" s="681"/>
      <c r="I283" s="179" t="s">
        <v>1044</v>
      </c>
      <c r="J283" s="236"/>
      <c r="K283" s="681"/>
      <c r="L283" s="928"/>
      <c r="M283" s="933"/>
      <c r="N283" s="758"/>
      <c r="O283" s="128"/>
      <c r="P283" s="128"/>
    </row>
    <row r="284" s="50" customFormat="1" ht="0.75" hidden="1" customHeight="1">
      <c r="A284" s="142"/>
      <c r="B284" s="142"/>
      <c r="C284" s="394" t="s">
        <v>1052</v>
      </c>
      <c r="D284" s="950"/>
      <c r="E284" s="344"/>
      <c r="F284" s="79"/>
      <c r="G284" s="949"/>
      <c r="H284" s="681"/>
      <c r="I284" s="179"/>
      <c r="J284" s="236"/>
      <c r="K284" s="681"/>
      <c r="L284" s="928"/>
      <c r="M284" s="933"/>
      <c r="N284" s="758"/>
      <c r="O284" s="128"/>
      <c r="P284" s="128"/>
    </row>
    <row r="285" s="50" customFormat="1" ht="18.75" hidden="1" customHeight="1">
      <c r="A285" s="142" t="s">
        <v>218</v>
      </c>
      <c r="B285" s="142" t="s">
        <v>219</v>
      </c>
      <c r="C285" s="394"/>
      <c r="D285" s="950"/>
      <c r="E285" s="344"/>
      <c r="F285" s="79" t="str">
        <f>INDEX(PT_DIFFERENTIATION_VTAR,MATCH(A285,PT_DIFFERENTIATION_VTAR_ID,0))</f>
        <v xml:space="preserve">Тариф на техническую воду</v>
      </c>
      <c r="G285" s="863" t="str">
        <f>INDEX(PT_DIFFERENTIATION_NTAR,MATCH(B285,PT_DIFFERENTIATION_NTAR_ID,0))</f>
        <v/>
      </c>
      <c r="H285" s="416"/>
      <c r="I285" s="939"/>
      <c r="J285" s="940"/>
      <c r="K285" s="432"/>
      <c r="L285" s="416" t="s">
        <v>294</v>
      </c>
      <c r="M285" s="933"/>
      <c r="N285" s="758"/>
      <c r="O285" s="128"/>
      <c r="P285" s="128"/>
    </row>
    <row r="286" s="50" customFormat="1" ht="18.75" hidden="1" customHeight="1">
      <c r="A286" s="142"/>
      <c r="B286" s="142"/>
      <c r="C286" s="394" t="s">
        <v>1045</v>
      </c>
      <c r="D286" s="950"/>
      <c r="E286" s="344"/>
      <c r="F286" s="79"/>
      <c r="G286" s="863"/>
      <c r="H286" s="681"/>
      <c r="I286" s="179" t="s">
        <v>1044</v>
      </c>
      <c r="J286" s="236"/>
      <c r="K286" s="681"/>
      <c r="L286" s="928"/>
      <c r="M286" s="933"/>
      <c r="N286" s="758"/>
      <c r="O286" s="128"/>
      <c r="P286" s="128"/>
    </row>
    <row r="287" s="50" customFormat="1" ht="0.75" hidden="1" customHeight="1">
      <c r="A287" s="142"/>
      <c r="B287" s="142"/>
      <c r="C287" s="394" t="s">
        <v>1052</v>
      </c>
      <c r="D287" s="950"/>
      <c r="E287" s="344"/>
      <c r="F287" s="79"/>
      <c r="G287" s="949"/>
      <c r="H287" s="681"/>
      <c r="I287" s="179"/>
      <c r="J287" s="236"/>
      <c r="K287" s="681"/>
      <c r="L287" s="928"/>
      <c r="M287" s="933"/>
      <c r="N287" s="758"/>
      <c r="O287" s="128"/>
      <c r="P287" s="128"/>
    </row>
    <row r="288" s="50" customFormat="1" ht="18.75" hidden="1" customHeight="1">
      <c r="A288" s="142" t="s">
        <v>223</v>
      </c>
      <c r="B288" s="142" t="s">
        <v>224</v>
      </c>
      <c r="C288" s="394"/>
      <c r="D288" s="950"/>
      <c r="E288" s="344"/>
      <c r="F288" s="79" t="str">
        <f>INDEX(PT_DIFFERENTIATION_VTAR,MATCH(A288,PT_DIFFERENTIATION_VTAR_ID,0))</f>
        <v xml:space="preserve">Тариф на транспортировку воды</v>
      </c>
      <c r="G288" s="863" t="str">
        <f>INDEX(PT_DIFFERENTIATION_NTAR,MATCH(B288,PT_DIFFERENTIATION_NTAR_ID,0))</f>
        <v/>
      </c>
      <c r="H288" s="416"/>
      <c r="I288" s="939"/>
      <c r="J288" s="940"/>
      <c r="K288" s="432"/>
      <c r="L288" s="416" t="s">
        <v>294</v>
      </c>
      <c r="M288" s="933"/>
      <c r="N288" s="758"/>
      <c r="O288" s="128"/>
      <c r="P288" s="128"/>
    </row>
    <row r="289" s="50" customFormat="1" ht="18.75" hidden="1" customHeight="1">
      <c r="A289" s="142"/>
      <c r="B289" s="142"/>
      <c r="C289" s="394" t="s">
        <v>1045</v>
      </c>
      <c r="D289" s="950"/>
      <c r="E289" s="344"/>
      <c r="F289" s="79"/>
      <c r="G289" s="863"/>
      <c r="H289" s="681"/>
      <c r="I289" s="179" t="s">
        <v>1044</v>
      </c>
      <c r="J289" s="236"/>
      <c r="K289" s="681"/>
      <c r="L289" s="928"/>
      <c r="M289" s="933"/>
      <c r="N289" s="758"/>
      <c r="O289" s="128"/>
      <c r="P289" s="128"/>
    </row>
    <row r="290" s="50" customFormat="1" ht="0.75" hidden="1" customHeight="1">
      <c r="A290" s="142"/>
      <c r="B290" s="142"/>
      <c r="C290" s="394" t="s">
        <v>1052</v>
      </c>
      <c r="D290" s="950"/>
      <c r="E290" s="344"/>
      <c r="F290" s="79"/>
      <c r="G290" s="949"/>
      <c r="H290" s="681"/>
      <c r="I290" s="179"/>
      <c r="J290" s="236"/>
      <c r="K290" s="681"/>
      <c r="L290" s="928"/>
      <c r="M290" s="933"/>
      <c r="N290" s="758"/>
      <c r="O290" s="128"/>
      <c r="P290" s="128"/>
    </row>
    <row r="291" s="50" customFormat="1" ht="18.75" hidden="1" customHeight="1">
      <c r="A291" s="142" t="s">
        <v>228</v>
      </c>
      <c r="B291" s="142" t="s">
        <v>229</v>
      </c>
      <c r="C291" s="394"/>
      <c r="D291" s="950"/>
      <c r="E291" s="344"/>
      <c r="F291" s="79" t="str">
        <f>INDEX(PT_DIFFERENTIATION_VTAR,MATCH(A291,PT_DIFFERENTIATION_VTAR_ID,0))</f>
        <v xml:space="preserve">Тариф на подвоз воды</v>
      </c>
      <c r="G291" s="863" t="str">
        <f>INDEX(PT_DIFFERENTIATION_NTAR,MATCH(B291,PT_DIFFERENTIATION_NTAR_ID,0))</f>
        <v/>
      </c>
      <c r="H291" s="416"/>
      <c r="I291" s="939"/>
      <c r="J291" s="940"/>
      <c r="K291" s="432"/>
      <c r="L291" s="416" t="s">
        <v>294</v>
      </c>
      <c r="M291" s="933"/>
      <c r="N291" s="758"/>
      <c r="O291" s="128"/>
      <c r="P291" s="128"/>
    </row>
    <row r="292" s="50" customFormat="1" ht="18.75" hidden="1" customHeight="1">
      <c r="A292" s="142"/>
      <c r="B292" s="142"/>
      <c r="C292" s="394" t="s">
        <v>1045</v>
      </c>
      <c r="D292" s="950"/>
      <c r="E292" s="344"/>
      <c r="F292" s="79"/>
      <c r="G292" s="863"/>
      <c r="H292" s="681"/>
      <c r="I292" s="179" t="s">
        <v>1044</v>
      </c>
      <c r="J292" s="236"/>
      <c r="K292" s="681"/>
      <c r="L292" s="928"/>
      <c r="M292" s="933"/>
      <c r="N292" s="758"/>
      <c r="O292" s="128"/>
      <c r="P292" s="128"/>
    </row>
    <row r="293" s="50" customFormat="1" ht="0.75" hidden="1" customHeight="1">
      <c r="A293" s="142"/>
      <c r="B293" s="142"/>
      <c r="C293" s="394" t="s">
        <v>1052</v>
      </c>
      <c r="D293" s="950"/>
      <c r="E293" s="344"/>
      <c r="F293" s="79"/>
      <c r="G293" s="949"/>
      <c r="H293" s="681"/>
      <c r="I293" s="179"/>
      <c r="J293" s="236"/>
      <c r="K293" s="681"/>
      <c r="L293" s="928"/>
      <c r="M293" s="933"/>
      <c r="N293" s="758"/>
      <c r="O293" s="128"/>
      <c r="P293" s="128"/>
    </row>
    <row r="294" s="50" customFormat="1" ht="18.75" hidden="1" customHeight="1">
      <c r="A294" s="142" t="s">
        <v>233</v>
      </c>
      <c r="B294" s="142" t="s">
        <v>234</v>
      </c>
      <c r="C294" s="394"/>
      <c r="D294" s="950"/>
      <c r="E294" s="344"/>
      <c r="F294" s="79" t="str">
        <f>INDEX(PT_DIFFERENTIATION_VTAR,MATCH(A294,PT_DIFFERENTIATION_VTAR_ID,0))</f>
        <v xml:space="preserve">Тариф на подключение (технологическое присоединение) к централизованной системе холодного водоснабжения</v>
      </c>
      <c r="G294" s="863" t="str">
        <f>INDEX(PT_DIFFERENTIATION_NTAR,MATCH(B294,PT_DIFFERENTIATION_NTAR_ID,0))</f>
        <v/>
      </c>
      <c r="H294" s="416"/>
      <c r="I294" s="939"/>
      <c r="J294" s="940"/>
      <c r="K294" s="432"/>
      <c r="L294" s="416" t="s">
        <v>294</v>
      </c>
      <c r="M294" s="933"/>
      <c r="N294" s="758"/>
      <c r="O294" s="128"/>
      <c r="P294" s="128"/>
    </row>
    <row r="295" s="50" customFormat="1" ht="18.75" hidden="1" customHeight="1">
      <c r="A295" s="142"/>
      <c r="B295" s="142"/>
      <c r="C295" s="394" t="s">
        <v>1045</v>
      </c>
      <c r="D295" s="950"/>
      <c r="E295" s="344"/>
      <c r="F295" s="79"/>
      <c r="G295" s="863"/>
      <c r="H295" s="681"/>
      <c r="I295" s="179" t="s">
        <v>1044</v>
      </c>
      <c r="J295" s="236"/>
      <c r="K295" s="681"/>
      <c r="L295" s="928"/>
      <c r="M295" s="933"/>
      <c r="N295" s="758"/>
      <c r="O295" s="128"/>
      <c r="P295" s="128"/>
    </row>
    <row r="296" s="50" customFormat="1" ht="0.75" hidden="1" customHeight="1">
      <c r="A296" s="142"/>
      <c r="B296" s="142"/>
      <c r="C296" s="394" t="s">
        <v>1052</v>
      </c>
      <c r="D296" s="950"/>
      <c r="E296" s="344"/>
      <c r="F296" s="79"/>
      <c r="G296" s="949"/>
      <c r="H296" s="681"/>
      <c r="I296" s="179"/>
      <c r="J296" s="236"/>
      <c r="K296" s="681"/>
      <c r="L296" s="928"/>
      <c r="M296" s="933"/>
      <c r="N296" s="758"/>
      <c r="O296" s="128"/>
      <c r="P296" s="128"/>
    </row>
    <row r="297" s="50" customFormat="1" ht="18.75" hidden="1" customHeight="1">
      <c r="A297" s="142" t="s">
        <v>238</v>
      </c>
      <c r="B297" s="142" t="s">
        <v>239</v>
      </c>
      <c r="C297" s="394"/>
      <c r="D297" s="950"/>
      <c r="E297" s="344"/>
      <c r="F297" s="79" t="str">
        <f>INDEX(PT_DIFFERENTIATION_VTAR,MATCH(A297,PT_DIFFERENTIATION_VTAR_ID,0))</f>
        <v xml:space="preserve">Тариф на горячую воду (горячее водоснабжение)</v>
      </c>
      <c r="G297" s="863" t="str">
        <f>INDEX(PT_DIFFERENTIATION_NTAR,MATCH(B297,PT_DIFFERENTIATION_NTAR_ID,0))</f>
        <v/>
      </c>
      <c r="H297" s="416"/>
      <c r="I297" s="939"/>
      <c r="J297" s="940"/>
      <c r="K297" s="432"/>
      <c r="L297" s="416" t="s">
        <v>294</v>
      </c>
      <c r="M297" s="933"/>
      <c r="N297" s="758"/>
      <c r="O297" s="128"/>
      <c r="P297" s="128"/>
    </row>
    <row r="298" s="50" customFormat="1" ht="18.75" hidden="1" customHeight="1">
      <c r="A298" s="142"/>
      <c r="B298" s="142"/>
      <c r="C298" s="394" t="s">
        <v>1045</v>
      </c>
      <c r="D298" s="950"/>
      <c r="E298" s="344"/>
      <c r="F298" s="79"/>
      <c r="G298" s="863"/>
      <c r="H298" s="681"/>
      <c r="I298" s="179" t="s">
        <v>1044</v>
      </c>
      <c r="J298" s="236"/>
      <c r="K298" s="681"/>
      <c r="L298" s="928"/>
      <c r="M298" s="933"/>
      <c r="N298" s="758"/>
      <c r="O298" s="128"/>
      <c r="P298" s="128"/>
    </row>
    <row r="299" s="50" customFormat="1" ht="0.75" hidden="1" customHeight="1">
      <c r="A299" s="142"/>
      <c r="B299" s="142"/>
      <c r="C299" s="394" t="s">
        <v>1052</v>
      </c>
      <c r="D299" s="950"/>
      <c r="E299" s="344"/>
      <c r="F299" s="79"/>
      <c r="G299" s="949"/>
      <c r="H299" s="681"/>
      <c r="I299" s="179"/>
      <c r="J299" s="236"/>
      <c r="K299" s="681"/>
      <c r="L299" s="928"/>
      <c r="M299" s="933"/>
      <c r="N299" s="758"/>
      <c r="O299" s="128"/>
      <c r="P299" s="128"/>
    </row>
    <row r="300" s="50" customFormat="1" ht="18.75" hidden="1" customHeight="1">
      <c r="A300" s="142" t="s">
        <v>243</v>
      </c>
      <c r="B300" s="142" t="s">
        <v>244</v>
      </c>
      <c r="C300" s="394"/>
      <c r="D300" s="950"/>
      <c r="E300" s="344"/>
      <c r="F300" s="79" t="str">
        <f>INDEX(PT_DIFFERENTIATION_VTAR,MATCH(A300,PT_DIFFERENTIATION_VTAR_ID,0))</f>
        <v xml:space="preserve">Тариф на транспортировку горячей воды</v>
      </c>
      <c r="G300" s="863" t="str">
        <f>INDEX(PT_DIFFERENTIATION_NTAR,MATCH(B300,PT_DIFFERENTIATION_NTAR_ID,0))</f>
        <v/>
      </c>
      <c r="H300" s="416"/>
      <c r="I300" s="939"/>
      <c r="J300" s="940"/>
      <c r="K300" s="432"/>
      <c r="L300" s="416" t="s">
        <v>294</v>
      </c>
      <c r="M300" s="933"/>
      <c r="N300" s="758"/>
      <c r="O300" s="128"/>
      <c r="P300" s="128"/>
    </row>
    <row r="301" s="50" customFormat="1" ht="18.75" hidden="1" customHeight="1">
      <c r="A301" s="142"/>
      <c r="B301" s="142"/>
      <c r="C301" s="394" t="s">
        <v>1045</v>
      </c>
      <c r="D301" s="950"/>
      <c r="E301" s="344"/>
      <c r="F301" s="79"/>
      <c r="G301" s="863"/>
      <c r="H301" s="681"/>
      <c r="I301" s="179" t="s">
        <v>1044</v>
      </c>
      <c r="J301" s="236"/>
      <c r="K301" s="681"/>
      <c r="L301" s="928"/>
      <c r="M301" s="933"/>
      <c r="N301" s="758"/>
      <c r="O301" s="128"/>
      <c r="P301" s="128"/>
    </row>
    <row r="302" s="50" customFormat="1" ht="0.75" hidden="1" customHeight="1">
      <c r="A302" s="142"/>
      <c r="B302" s="142"/>
      <c r="C302" s="394" t="s">
        <v>1052</v>
      </c>
      <c r="D302" s="950"/>
      <c r="E302" s="344"/>
      <c r="F302" s="79"/>
      <c r="G302" s="949"/>
      <c r="H302" s="681"/>
      <c r="I302" s="179"/>
      <c r="J302" s="236"/>
      <c r="K302" s="681"/>
      <c r="L302" s="928"/>
      <c r="M302" s="933"/>
      <c r="N302" s="758"/>
      <c r="O302" s="128"/>
      <c r="P302" s="128"/>
    </row>
    <row r="303" s="50" customFormat="1" ht="18.75" hidden="1" customHeight="1">
      <c r="A303" s="142" t="s">
        <v>248</v>
      </c>
      <c r="B303" s="142" t="s">
        <v>249</v>
      </c>
      <c r="C303" s="394"/>
      <c r="D303" s="950"/>
      <c r="E303" s="344"/>
      <c r="F303" s="79" t="str">
        <f>INDEX(PT_DIFFERENTIATION_VTAR,MATCH(A303,PT_DIFFERENTIATION_VTAR_ID,0))</f>
        <v xml:space="preserve">Тариф на подключение (технологическое присоединение) к централизованной системе горячего водоснабжения</v>
      </c>
      <c r="G303" s="863" t="str">
        <f>INDEX(PT_DIFFERENTIATION_NTAR,MATCH(B303,PT_DIFFERENTIATION_NTAR_ID,0))</f>
        <v/>
      </c>
      <c r="H303" s="416"/>
      <c r="I303" s="939"/>
      <c r="J303" s="940"/>
      <c r="K303" s="432"/>
      <c r="L303" s="416" t="s">
        <v>294</v>
      </c>
      <c r="M303" s="933"/>
      <c r="N303" s="758"/>
      <c r="O303" s="128"/>
      <c r="P303" s="128"/>
    </row>
    <row r="304" s="50" customFormat="1" ht="18.75" hidden="1" customHeight="1">
      <c r="A304" s="142"/>
      <c r="B304" s="142"/>
      <c r="C304" s="394" t="s">
        <v>1045</v>
      </c>
      <c r="D304" s="950"/>
      <c r="E304" s="344"/>
      <c r="F304" s="79"/>
      <c r="G304" s="863"/>
      <c r="H304" s="681"/>
      <c r="I304" s="179" t="s">
        <v>1044</v>
      </c>
      <c r="J304" s="236"/>
      <c r="K304" s="681"/>
      <c r="L304" s="928"/>
      <c r="M304" s="933"/>
      <c r="N304" s="758"/>
      <c r="O304" s="128"/>
      <c r="P304" s="128"/>
    </row>
    <row r="305" s="50" customFormat="1" ht="0.75" hidden="1" customHeight="1">
      <c r="A305" s="142"/>
      <c r="B305" s="142"/>
      <c r="C305" s="394" t="s">
        <v>1052</v>
      </c>
      <c r="D305" s="950"/>
      <c r="E305" s="344"/>
      <c r="F305" s="79"/>
      <c r="G305" s="949"/>
      <c r="H305" s="681"/>
      <c r="I305" s="179"/>
      <c r="J305" s="236"/>
      <c r="K305" s="681"/>
      <c r="L305" s="928"/>
      <c r="M305" s="933"/>
      <c r="N305" s="758"/>
      <c r="O305" s="128"/>
      <c r="P305" s="128"/>
    </row>
    <row r="306" s="50" customFormat="1" ht="18.75" hidden="1" customHeight="1">
      <c r="A306" s="142" t="s">
        <v>253</v>
      </c>
      <c r="B306" s="142" t="s">
        <v>254</v>
      </c>
      <c r="C306" s="394"/>
      <c r="D306" s="950"/>
      <c r="E306" s="344"/>
      <c r="F306" s="79" t="str">
        <f>INDEX(PT_DIFFERENTIATION_VTAR,MATCH(A306,PT_DIFFERENTIATION_VTAR_ID,0))</f>
        <v xml:space="preserve">Тариф на водоотведение</v>
      </c>
      <c r="G306" s="863" t="str">
        <f>INDEX(PT_DIFFERENTIATION_NTAR,MATCH(B306,PT_DIFFERENTIATION_NTAR_ID,0))</f>
        <v/>
      </c>
      <c r="H306" s="416"/>
      <c r="I306" s="939"/>
      <c r="J306" s="940"/>
      <c r="K306" s="432"/>
      <c r="L306" s="416" t="s">
        <v>294</v>
      </c>
      <c r="M306" s="933"/>
      <c r="N306" s="758"/>
      <c r="O306" s="128"/>
      <c r="P306" s="128"/>
    </row>
    <row r="307" s="50" customFormat="1" ht="18.75" hidden="1" customHeight="1">
      <c r="A307" s="142"/>
      <c r="B307" s="142"/>
      <c r="C307" s="394" t="s">
        <v>1045</v>
      </c>
      <c r="D307" s="950"/>
      <c r="E307" s="344"/>
      <c r="F307" s="79"/>
      <c r="G307" s="863"/>
      <c r="H307" s="681"/>
      <c r="I307" s="179" t="s">
        <v>1044</v>
      </c>
      <c r="J307" s="236"/>
      <c r="K307" s="681"/>
      <c r="L307" s="928"/>
      <c r="M307" s="933"/>
      <c r="N307" s="758"/>
      <c r="O307" s="128"/>
      <c r="P307" s="128"/>
    </row>
    <row r="308" s="50" customFormat="1" ht="0.75" hidden="1" customHeight="1">
      <c r="A308" s="142"/>
      <c r="B308" s="142"/>
      <c r="C308" s="394" t="s">
        <v>1052</v>
      </c>
      <c r="D308" s="950"/>
      <c r="E308" s="344"/>
      <c r="F308" s="79"/>
      <c r="G308" s="949"/>
      <c r="H308" s="681"/>
      <c r="I308" s="179"/>
      <c r="J308" s="236"/>
      <c r="K308" s="681"/>
      <c r="L308" s="928"/>
      <c r="M308" s="933"/>
      <c r="N308" s="758"/>
      <c r="O308" s="128"/>
      <c r="P308" s="128"/>
    </row>
    <row r="309" s="50" customFormat="1" ht="18.75" hidden="1" customHeight="1">
      <c r="A309" s="142" t="s">
        <v>258</v>
      </c>
      <c r="B309" s="142" t="s">
        <v>259</v>
      </c>
      <c r="C309" s="394"/>
      <c r="D309" s="950"/>
      <c r="E309" s="344"/>
      <c r="F309" s="79" t="str">
        <f>INDEX(PT_DIFFERENTIATION_VTAR,MATCH(A309,PT_DIFFERENTIATION_VTAR_ID,0))</f>
        <v xml:space="preserve">Тариф на транспортировку сточных вод</v>
      </c>
      <c r="G309" s="863" t="str">
        <f>INDEX(PT_DIFFERENTIATION_NTAR,MATCH(B309,PT_DIFFERENTIATION_NTAR_ID,0))</f>
        <v/>
      </c>
      <c r="H309" s="416"/>
      <c r="I309" s="939"/>
      <c r="J309" s="940"/>
      <c r="K309" s="432"/>
      <c r="L309" s="416" t="s">
        <v>294</v>
      </c>
      <c r="M309" s="933"/>
      <c r="N309" s="758"/>
      <c r="O309" s="128"/>
      <c r="P309" s="128"/>
    </row>
    <row r="310" s="50" customFormat="1" ht="18.75" hidden="1" customHeight="1">
      <c r="A310" s="142"/>
      <c r="B310" s="142"/>
      <c r="C310" s="394" t="s">
        <v>1045</v>
      </c>
      <c r="D310" s="950"/>
      <c r="E310" s="344"/>
      <c r="F310" s="79"/>
      <c r="G310" s="863"/>
      <c r="H310" s="681"/>
      <c r="I310" s="179" t="s">
        <v>1044</v>
      </c>
      <c r="J310" s="236"/>
      <c r="K310" s="681"/>
      <c r="L310" s="928"/>
      <c r="M310" s="933"/>
      <c r="N310" s="758"/>
      <c r="O310" s="128"/>
      <c r="P310" s="128"/>
    </row>
    <row r="311" s="50" customFormat="1" ht="0.75" hidden="1" customHeight="1">
      <c r="A311" s="142"/>
      <c r="B311" s="142"/>
      <c r="C311" s="394" t="s">
        <v>1052</v>
      </c>
      <c r="D311" s="950"/>
      <c r="E311" s="344"/>
      <c r="F311" s="79"/>
      <c r="G311" s="949"/>
      <c r="H311" s="681"/>
      <c r="I311" s="179"/>
      <c r="J311" s="236"/>
      <c r="K311" s="681"/>
      <c r="L311" s="928"/>
      <c r="M311" s="933"/>
      <c r="N311" s="758"/>
      <c r="O311" s="128"/>
      <c r="P311" s="128"/>
    </row>
    <row r="312" s="50" customFormat="1" ht="18.75" hidden="1" customHeight="1">
      <c r="A312" s="142" t="s">
        <v>263</v>
      </c>
      <c r="B312" s="142" t="s">
        <v>264</v>
      </c>
      <c r="C312" s="394"/>
      <c r="D312" s="950"/>
      <c r="E312" s="344"/>
      <c r="F312" s="79" t="str">
        <f>INDEX(PT_DIFFERENTIATION_VTAR,MATCH(A312,PT_DIFFERENTIATION_VTAR_ID,0))</f>
        <v xml:space="preserve">Тариф на подключение (технологическое присоединение) к централизованной системе водоотведения</v>
      </c>
      <c r="G312" s="863" t="str">
        <f>INDEX(PT_DIFFERENTIATION_NTAR,MATCH(B312,PT_DIFFERENTIATION_NTAR_ID,0))</f>
        <v/>
      </c>
      <c r="H312" s="416"/>
      <c r="I312" s="939"/>
      <c r="J312" s="940"/>
      <c r="K312" s="432"/>
      <c r="L312" s="416" t="s">
        <v>294</v>
      </c>
      <c r="M312" s="933"/>
      <c r="N312" s="758"/>
      <c r="O312" s="128"/>
      <c r="P312" s="128"/>
    </row>
    <row r="313" s="50" customFormat="1" ht="18.75" hidden="1" customHeight="1">
      <c r="A313" s="142"/>
      <c r="B313" s="142"/>
      <c r="C313" s="394" t="s">
        <v>1045</v>
      </c>
      <c r="D313" s="950"/>
      <c r="E313" s="344"/>
      <c r="F313" s="79"/>
      <c r="G313" s="863"/>
      <c r="H313" s="681"/>
      <c r="I313" s="179" t="s">
        <v>1044</v>
      </c>
      <c r="J313" s="236"/>
      <c r="K313" s="681"/>
      <c r="L313" s="928"/>
      <c r="M313" s="933"/>
      <c r="N313" s="758"/>
      <c r="O313" s="128"/>
      <c r="P313" s="128"/>
    </row>
    <row r="314" s="50" customFormat="1" ht="0.75" customHeight="1">
      <c r="A314" s="142"/>
      <c r="B314" s="142"/>
      <c r="C314" s="394" t="s">
        <v>1052</v>
      </c>
      <c r="D314" s="950"/>
      <c r="E314" s="344"/>
      <c r="F314" s="79"/>
      <c r="G314" s="949"/>
      <c r="H314" s="681"/>
      <c r="I314" s="179"/>
      <c r="J314" s="236"/>
      <c r="K314" s="681"/>
      <c r="L314" s="928"/>
      <c r="M314" s="933"/>
      <c r="N314" s="758"/>
      <c r="O314" s="128"/>
      <c r="P314" s="128"/>
    </row>
    <row r="315" s="142" customFormat="1" ht="3" customHeight="1">
      <c r="A315" s="142"/>
      <c r="B315" s="142"/>
      <c r="C315" s="142"/>
      <c r="E315" s="954"/>
      <c r="F315" s="954"/>
      <c r="G315" s="954"/>
      <c r="H315" s="954"/>
      <c r="I315" s="954"/>
      <c r="J315" s="954"/>
      <c r="K315" s="954"/>
      <c r="L315" s="954"/>
      <c r="M315" s="954"/>
      <c r="O315" s="166"/>
      <c r="P315" s="166"/>
    </row>
    <row r="316" ht="24.75" customHeight="1">
      <c r="E316" s="955"/>
      <c r="F316" s="572"/>
      <c r="G316" s="572"/>
      <c r="H316" s="572"/>
      <c r="I316" s="572"/>
      <c r="J316" s="572"/>
      <c r="K316" s="572"/>
      <c r="L316" s="572"/>
      <c r="M316" s="572"/>
    </row>
  </sheetData>
  <sheetProtection autoFilter="0" deleteColumns="0" deleteRows="0" formatCells="1" formatColumns="0" formatRows="0" insertColumns="1" insertHyperlinks="1" insertRows="0" pivotTables="1" selectLockedCells="0" selectUnlockedCells="0" sheet="0" sort="0"/>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1" disablePrompts="0">
    <dataValidation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270053-0087-4768-88C0-008400C00052}"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xm:sqref>
        </x14:dataValidation>
        <x14:dataValidation xr:uid="{00D60067-0091-43C3-8F3B-003600F500F1}" type="textLength" allowBlank="1" error="Допускается ввод не более 900 символов!" errorStyle="stop" errorTitle="Ошибка" imeMode="noControl" operator="lessThanOrEqual" showDropDown="0" showErrorMessage="1" showInputMessage="1">
          <x14:formula1>
            <xm:f>900</xm:f>
          </x14:formula1>
          <xm:sqref>M142:M143 M200:M201 M23 M84:M85 M258:M259</xm:sqref>
        </x14:dataValidation>
        <x14:dataValidation xr:uid="{00FD00AF-0015-421C-9A39-0058002500A2}"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L82</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10.57421875" defaultRowHeight="14.25" customHeight="1"/>
  <cols>
    <col customWidth="1" hidden="1" min="1" max="1" style="60" width="9.140625"/>
    <col customWidth="1" hidden="1" min="2" max="2" style="53" width="9.140625"/>
    <col customWidth="1" min="3" max="3" style="477" width="3.7109375"/>
    <col customWidth="1" min="4" max="4" style="50" width="6.28125"/>
    <col customWidth="1" min="5" max="5" style="50" width="53.8515625"/>
    <col customWidth="1" min="6" max="7" style="50" width="35.7109375"/>
    <col customWidth="1" min="8" max="8" style="50" width="89.57421875"/>
    <col min="9" max="9" style="50" width="10.57421875"/>
    <col min="10" max="11" style="128" width="10.57421875"/>
    <col min="12" max="17" style="50" width="10.57421875"/>
  </cols>
  <sheetData>
    <row r="1" ht="14.25" hidden="1" customHeight="1">
      <c r="N1" s="922"/>
      <c r="O1" s="922"/>
      <c r="Q1" s="922"/>
    </row>
    <row r="2" s="50" customFormat="1" ht="18.75" hidden="1" customHeight="1">
      <c r="A2" s="142"/>
      <c r="B2" s="53"/>
      <c r="C2" s="934" t="s">
        <v>100</v>
      </c>
      <c r="D2" s="344"/>
      <c r="E2" s="376"/>
      <c r="F2" s="935"/>
      <c r="G2" s="469"/>
      <c r="H2" s="50"/>
      <c r="I2" s="128"/>
      <c r="J2" s="128"/>
    </row>
    <row r="3" ht="14.25" hidden="1" customHeight="1"/>
    <row r="4" ht="6" customHeight="1">
      <c r="C4" s="537"/>
      <c r="D4" s="89"/>
      <c r="E4" s="89"/>
      <c r="F4" s="89"/>
      <c r="G4" s="923"/>
      <c r="H4" s="923"/>
    </row>
    <row r="5" ht="33" customHeight="1">
      <c r="C5" s="537"/>
      <c r="D5" s="237" t="str">
        <f>PURCH_NAME_FORM</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
      <c r="F5" s="238"/>
      <c r="G5" s="239"/>
      <c r="H5" s="240"/>
    </row>
    <row r="6" s="50" customFormat="1" ht="17.25" customHeight="1">
      <c r="A6" s="60"/>
      <c r="B6" s="53"/>
      <c r="C6" s="537"/>
      <c r="D6" s="407" t="str">
        <f>IF(org=0,"Не определено",org)</f>
        <v xml:space="preserve">филиал ПАО "ОГК-2" - Адлерская ТЭС</v>
      </c>
      <c r="E6" s="408"/>
      <c r="F6" s="408"/>
      <c r="G6" s="409"/>
      <c r="H6" s="240"/>
      <c r="J6" s="128"/>
      <c r="K6" s="128"/>
    </row>
    <row r="7" ht="14.25" customHeight="1">
      <c r="C7" s="537"/>
      <c r="D7" s="89"/>
      <c r="E7" s="83"/>
      <c r="F7" s="83"/>
      <c r="G7" s="341"/>
      <c r="H7" s="924"/>
    </row>
    <row r="8" ht="14.25" customHeight="1">
      <c r="C8" s="537"/>
      <c r="D8" s="347" t="s">
        <v>288</v>
      </c>
      <c r="E8" s="347"/>
      <c r="F8" s="347"/>
      <c r="G8" s="347"/>
      <c r="H8" s="925" t="s">
        <v>289</v>
      </c>
    </row>
    <row r="9" ht="14.25" customHeight="1">
      <c r="C9" s="537"/>
      <c r="D9" s="347" t="s">
        <v>85</v>
      </c>
      <c r="E9" s="247" t="s">
        <v>290</v>
      </c>
      <c r="F9" s="247" t="s">
        <v>291</v>
      </c>
      <c r="G9" s="247" t="s">
        <v>380</v>
      </c>
      <c r="H9" s="925"/>
    </row>
    <row r="10" ht="33.75" customHeight="1">
      <c r="A10" s="142"/>
      <c r="C10" s="537"/>
      <c r="D10" s="344" t="s">
        <v>111</v>
      </c>
      <c r="E10" s="9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 xml:space="preserve">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935"/>
      <c r="G10" s="469"/>
      <c r="H10" s="284" t="s">
        <v>1053</v>
      </c>
    </row>
    <row r="11" ht="33.75" customHeight="1">
      <c r="A11" s="142"/>
      <c r="C11" s="537"/>
      <c r="D11" s="344" t="s">
        <v>99</v>
      </c>
      <c r="E11" s="9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 xml:space="preserve">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935"/>
      <c r="G11" s="469"/>
      <c r="H11" s="286"/>
    </row>
    <row r="12" ht="14.25" customHeight="1">
      <c r="A12" s="142"/>
      <c r="C12" s="375"/>
      <c r="D12" s="344" t="s">
        <v>87</v>
      </c>
      <c r="E12" s="937" t="str">
        <f>"Сведения о планировании закупочных процедур"&amp;IF(TEMPLATE_SPHERE="TKO"," &lt;1&gt;","")</f>
        <v xml:space="preserve">Сведения о планировании закупочных процедур</v>
      </c>
      <c r="F12" s="935"/>
      <c r="G12" s="469"/>
      <c r="H12" s="2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 xml:space="preserve">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8"/>
      <c r="K12" s="50"/>
    </row>
    <row r="13" ht="14.25" customHeight="1">
      <c r="A13" s="142"/>
      <c r="C13" s="375"/>
      <c r="D13" s="344" t="s">
        <v>88</v>
      </c>
      <c r="E13" s="937" t="str">
        <f>"Сведения о результатах проведения закупочных процедур"&amp;IF(TEMPLATE_SPHERE="TKO"," &lt;1&gt;","")</f>
        <v xml:space="preserve">Сведения о результатах проведения закупочных процедур</v>
      </c>
      <c r="F13" s="935"/>
      <c r="G13" s="469"/>
      <c r="H13" s="286"/>
      <c r="I13" s="128"/>
      <c r="K13" s="50"/>
    </row>
    <row r="14" ht="14.25" customHeight="1">
      <c r="A14" s="142"/>
      <c r="C14" s="537"/>
      <c r="D14" s="837"/>
      <c r="E14" s="179" t="s">
        <v>1021</v>
      </c>
      <c r="F14" s="236"/>
      <c r="G14" s="928"/>
      <c r="H14" s="288"/>
    </row>
    <row r="15" s="50" customFormat="1" ht="14.25" customHeight="1">
      <c r="A15" s="142"/>
      <c r="B15" s="53"/>
      <c r="C15" s="537"/>
      <c r="D15" s="752"/>
      <c r="E15" s="957"/>
      <c r="F15" s="958"/>
      <c r="G15" s="959"/>
      <c r="H15" s="960"/>
      <c r="J15" s="128"/>
      <c r="K15" s="128"/>
    </row>
    <row r="16" ht="14.25" customHeight="1">
      <c r="D16" s="475"/>
      <c r="E16" s="572"/>
      <c r="F16" s="572"/>
      <c r="G16" s="572"/>
      <c r="H16" s="572"/>
    </row>
  </sheetData>
  <sheetProtection autoFilter="0" deleteColumns="0" deleteRows="0" formatCells="1" formatColumns="0" formatRows="0" insertColumns="1" insertHyperlinks="1" insertRows="0" pivotTables="1" selectLockedCells="0" selectUnlockedCells="0" sheet="0" sort="0"/>
  <mergeCells count="7">
    <mergeCell ref="D5:G5"/>
    <mergeCell ref="D6:G6"/>
    <mergeCell ref="D8:G8"/>
    <mergeCell ref="H8:H9"/>
    <mergeCell ref="H10:H11"/>
    <mergeCell ref="H12:H14"/>
    <mergeCell ref="E16:H16"/>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50001A-0045-4A37-894D-008F00F000B1}" type="textLength" allowBlank="1" error="Допускается ввод не более 900 символов!" errorStyle="stop" errorTitle="Ошибка" imeMode="noControl" operator="lessThanOrEqual" showDropDown="0" showErrorMessage="1" showInputMessage="1">
          <x14:formula1>
            <xm:f>900</xm:f>
          </x14:formula1>
          <xm:sqref>H10 E13 E2:F2 F10:F13</xm:sqref>
        </x14:dataValidation>
        <x14:dataValidation xr:uid="{00AA0089-0054-432F-A6EC-003400B8007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0" showErrorMessage="1" showInputMessage="1">
          <x14:formula1>
            <xm:f>900</xm:f>
          </x14:formula1>
          <xm:sqref>G2 G10:G13</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48" width="4.7109375"/>
    <col customWidth="1" min="4" max="4" style="50" width="6.28125"/>
    <col customWidth="1" min="5" max="5" style="50" width="47.8515625"/>
    <col customWidth="1" min="6" max="6" style="50" width="9.57421875"/>
    <col customWidth="1" hidden="1" min="7" max="7" style="50" width="25.7109375"/>
    <col customWidth="1" hidden="1" min="8" max="8" style="50" width="34.00390625"/>
    <col customWidth="1" min="9" max="9" style="50" width="25.7109375"/>
    <col customWidth="1" min="10" max="10" style="50" width="34.00390625"/>
    <col customWidth="1" min="11" max="11" style="53" width="50.8515625"/>
    <col min="12" max="20" style="50" width="10.57421875"/>
    <col min="21" max="21" style="114" width="10.57421875"/>
  </cols>
  <sheetData>
    <row r="1" s="53" customFormat="1" ht="15" hidden="1" customHeight="1">
      <c r="C1" s="113"/>
      <c r="G1" s="53">
        <v>4</v>
      </c>
      <c r="I1" s="53">
        <v>4</v>
      </c>
      <c r="U1" s="165"/>
    </row>
    <row r="2" s="50" customFormat="1" ht="15" hidden="1" customHeight="1">
      <c r="A2" s="56"/>
      <c r="C2" s="148"/>
      <c r="D2" s="124"/>
      <c r="E2" s="269"/>
      <c r="F2" s="51"/>
      <c r="G2" s="141"/>
      <c r="H2" s="141"/>
      <c r="I2" s="141"/>
      <c r="J2" s="141"/>
      <c r="U2" s="114"/>
    </row>
    <row r="3" s="53" customFormat="1" ht="15" hidden="1" customHeight="1">
      <c r="C3" s="113"/>
      <c r="U3" s="165"/>
    </row>
    <row r="4" ht="15" customHeight="1">
      <c r="C4" s="148"/>
      <c r="D4" s="50"/>
      <c r="E4" s="50"/>
      <c r="F4" s="50"/>
      <c r="G4" s="50"/>
      <c r="H4" s="50"/>
      <c r="I4" s="50"/>
      <c r="J4" s="50"/>
    </row>
    <row r="5" ht="63" customHeight="1">
      <c r="C5" s="148"/>
      <c r="D5" s="451" t="s">
        <v>1054</v>
      </c>
      <c r="E5" s="451"/>
      <c r="F5" s="451"/>
      <c r="G5" s="451"/>
      <c r="H5" s="451"/>
      <c r="I5" s="451"/>
      <c r="J5" s="451"/>
    </row>
    <row r="6" ht="15" customHeight="1">
      <c r="C6" s="148"/>
      <c r="D6" s="302" t="str">
        <f>IF(org=0,"Не определено",org)</f>
        <v xml:space="preserve">филиал ПАО "ОГК-2" - Адлерская ТЭС</v>
      </c>
      <c r="E6" s="302"/>
      <c r="F6" s="302"/>
      <c r="G6" s="302"/>
      <c r="H6" s="302"/>
      <c r="I6" s="302"/>
      <c r="J6" s="302"/>
      <c r="K6" s="53"/>
    </row>
    <row r="7" ht="15" customHeight="1">
      <c r="C7" s="148"/>
      <c r="D7" s="341"/>
      <c r="E7" s="50"/>
      <c r="F7" s="50"/>
      <c r="G7" s="53">
        <v>22</v>
      </c>
      <c r="I7" s="53">
        <v>1</v>
      </c>
      <c r="J7" s="341"/>
    </row>
    <row r="8" s="50" customFormat="1" ht="0.75" customHeight="1">
      <c r="A8" s="56"/>
      <c r="C8" s="148"/>
      <c r="D8" s="50"/>
      <c r="E8" s="50"/>
      <c r="F8" s="50"/>
      <c r="G8" s="53"/>
      <c r="H8" s="341"/>
      <c r="I8" s="53" t="s">
        <v>118</v>
      </c>
      <c r="J8" s="341"/>
      <c r="K8" s="53"/>
      <c r="U8" s="114"/>
    </row>
    <row r="9" ht="15" customHeight="1">
      <c r="C9" s="148"/>
      <c r="D9" s="700"/>
      <c r="E9" s="701" t="s">
        <v>107</v>
      </c>
      <c r="F9" s="702"/>
      <c r="G9" s="834" t="str">
        <f>IF(G8="","",INDEX(DIFFERENTIATION_UNMERGE_VD,MATCH(G8,DIFFERENTIATION_ID_DIFF,0)))</f>
        <v/>
      </c>
      <c r="H9" s="835"/>
      <c r="I9" s="834" t="str">
        <f>IF(I8="","",INDEX(DIFFERENTIATION_UNMERGE_VD,MATCH(I8,DIFFERENTIATION_ID_DIFF,0)))</f>
        <v xml:space="preserve">Сбыт. Тепловая энергия</v>
      </c>
      <c r="J9" s="835"/>
      <c r="K9" s="306" t="s">
        <v>289</v>
      </c>
    </row>
    <row r="10" s="50" customFormat="1" ht="15" customHeight="1">
      <c r="A10" s="56"/>
      <c r="C10" s="148"/>
      <c r="D10" s="700"/>
      <c r="E10" s="701" t="s">
        <v>546</v>
      </c>
      <c r="F10" s="702"/>
      <c r="G10" s="834" t="str">
        <f>IF(G8="","",INDEX(DIFFERENTIATION_UNMERGE_AREA,MATCH(G8,DIFFERENTIATION_ID_DIFF,0)))</f>
        <v/>
      </c>
      <c r="H10" s="835"/>
      <c r="I10" s="834" t="str">
        <f>IF(I8="","",INDEX(DIFFERENTIATION_UNMERGE_AREA,MATCH(I8,DIFFERENTIATION_ID_DIFF,0)))</f>
        <v xml:space="preserve">Территория 1</v>
      </c>
      <c r="J10" s="835"/>
      <c r="K10" s="305"/>
      <c r="U10" s="114"/>
    </row>
    <row r="11" s="50" customFormat="1" ht="15" customHeight="1">
      <c r="A11" s="56"/>
      <c r="C11" s="148"/>
      <c r="D11" s="700"/>
      <c r="E11" s="701" t="s">
        <v>547</v>
      </c>
      <c r="F11" s="702"/>
      <c r="G11" s="834" t="str">
        <f>IF(G8="","",INDEX(DIFFERENTIATION_UNMERGE_SYSTEM,MATCH(G8,DIFFERENTIATION_ID_DIFF,0)))</f>
        <v/>
      </c>
      <c r="H11" s="835"/>
      <c r="I11" s="834" t="str">
        <f>IF(I8="","",INDEX(DIFFERENTIATION_UNMERGE_SYSTEM,MATCH(I8,DIFFERENTIATION_ID_DIFF,0)))</f>
        <v xml:space="preserve">без дифференциации</v>
      </c>
      <c r="J11" s="835"/>
      <c r="K11" s="305"/>
      <c r="U11" s="114"/>
    </row>
    <row r="12" s="50" customFormat="1" ht="15" customHeight="1">
      <c r="A12" s="56"/>
      <c r="C12" s="148"/>
      <c r="D12" s="704" t="s">
        <v>288</v>
      </c>
      <c r="E12" s="705"/>
      <c r="F12" s="705"/>
      <c r="G12" s="701"/>
      <c r="H12" s="701"/>
      <c r="I12" s="701"/>
      <c r="J12" s="701"/>
      <c r="K12" s="305"/>
      <c r="U12" s="114"/>
    </row>
    <row r="13" ht="33.75" customHeight="1">
      <c r="C13" s="148"/>
      <c r="D13" s="156" t="s">
        <v>85</v>
      </c>
      <c r="E13" s="156" t="s">
        <v>290</v>
      </c>
      <c r="F13" s="156" t="s">
        <v>548</v>
      </c>
      <c r="G13" s="73" t="s">
        <v>291</v>
      </c>
      <c r="H13" s="156" t="s">
        <v>380</v>
      </c>
      <c r="I13" s="73" t="s">
        <v>291</v>
      </c>
      <c r="J13" s="156" t="s">
        <v>380</v>
      </c>
      <c r="K13" s="161"/>
    </row>
    <row r="14" ht="15" hidden="1" customHeight="1">
      <c r="C14" s="148"/>
      <c r="D14" s="207" t="s">
        <v>111</v>
      </c>
      <c r="E14" s="207" t="s">
        <v>99</v>
      </c>
      <c r="F14" s="207" t="s">
        <v>87</v>
      </c>
      <c r="G14" s="148" t="str">
        <f>G1&amp;".1"</f>
        <v>4.1</v>
      </c>
      <c r="H14" s="148"/>
      <c r="I14" s="148" t="str">
        <f>I1&amp;".1"</f>
        <v>4.1</v>
      </c>
      <c r="J14" s="148"/>
      <c r="K14" s="484"/>
    </row>
    <row r="15" ht="22.5" hidden="1" customHeight="1">
      <c r="A15" s="50"/>
      <c r="C15" s="127"/>
      <c r="D15" s="156">
        <v>1</v>
      </c>
      <c r="E15" s="312" t="s">
        <v>705</v>
      </c>
      <c r="F15" s="156" t="s">
        <v>706</v>
      </c>
      <c r="G15" s="961"/>
      <c r="H15" s="961"/>
      <c r="I15" s="961"/>
      <c r="J15" s="961"/>
      <c r="K15" s="484" t="s">
        <v>707</v>
      </c>
    </row>
    <row r="16" ht="22.5" hidden="1" customHeight="1">
      <c r="A16" s="50"/>
      <c r="C16" s="127"/>
      <c r="D16" s="156">
        <v>2</v>
      </c>
      <c r="E16" s="312" t="s">
        <v>708</v>
      </c>
      <c r="F16" s="156" t="s">
        <v>709</v>
      </c>
      <c r="G16" s="961"/>
      <c r="H16" s="961"/>
      <c r="I16" s="961"/>
      <c r="J16" s="961"/>
      <c r="K16" s="484" t="s">
        <v>710</v>
      </c>
    </row>
    <row r="17" ht="123.75" hidden="1" customHeight="1">
      <c r="A17" s="50"/>
      <c r="C17" s="127"/>
      <c r="D17" s="156">
        <v>3</v>
      </c>
      <c r="E17" s="312" t="s">
        <v>1055</v>
      </c>
      <c r="F17" s="156" t="s">
        <v>294</v>
      </c>
      <c r="G17" s="961"/>
      <c r="H17" s="961"/>
      <c r="I17" s="961"/>
      <c r="J17" s="961"/>
      <c r="K17" s="484" t="s">
        <v>1056</v>
      </c>
    </row>
    <row r="18" ht="45" customHeight="1">
      <c r="A18" s="50"/>
      <c r="C18" s="127"/>
      <c r="D18" s="156">
        <v>4</v>
      </c>
      <c r="E18" s="312" t="s">
        <v>711</v>
      </c>
      <c r="F18" s="156" t="s">
        <v>294</v>
      </c>
      <c r="G18" s="156" t="s">
        <v>294</v>
      </c>
      <c r="H18" s="306" t="s">
        <v>294</v>
      </c>
      <c r="I18" s="156" t="s">
        <v>294</v>
      </c>
      <c r="J18" s="306" t="s">
        <v>294</v>
      </c>
      <c r="K18" s="484" t="s">
        <v>1057</v>
      </c>
    </row>
    <row r="19" ht="33.75" customHeight="1">
      <c r="A19" s="50"/>
      <c r="C19" s="127"/>
      <c r="D19" s="219" t="s">
        <v>649</v>
      </c>
      <c r="E19" s="655" t="s">
        <v>713</v>
      </c>
      <c r="F19" s="156" t="s">
        <v>714</v>
      </c>
      <c r="G19" s="796"/>
      <c r="H19" s="383"/>
      <c r="I19" s="796"/>
      <c r="J19" s="735"/>
      <c r="K19" s="839"/>
    </row>
    <row r="20" ht="33.75" customHeight="1">
      <c r="A20" s="50"/>
      <c r="C20" s="127"/>
      <c r="D20" s="219" t="s">
        <v>692</v>
      </c>
      <c r="E20" s="655" t="s">
        <v>715</v>
      </c>
      <c r="F20" s="156" t="s">
        <v>716</v>
      </c>
      <c r="G20" s="796"/>
      <c r="H20" s="383"/>
      <c r="I20" s="796"/>
      <c r="J20" s="383"/>
      <c r="K20" s="839"/>
    </row>
    <row r="21" ht="45" customHeight="1">
      <c r="A21" s="50"/>
      <c r="C21" s="127"/>
      <c r="D21" s="219" t="s">
        <v>695</v>
      </c>
      <c r="E21" s="655" t="s">
        <v>717</v>
      </c>
      <c r="F21" s="156" t="s">
        <v>553</v>
      </c>
      <c r="G21" s="797"/>
      <c r="H21" s="383"/>
      <c r="I21" s="797"/>
      <c r="J21" s="383"/>
      <c r="K21" s="839"/>
    </row>
    <row r="22" ht="67.5" hidden="1" customHeight="1">
      <c r="A22" s="50"/>
      <c r="C22" s="127"/>
      <c r="D22" s="156">
        <v>5</v>
      </c>
      <c r="E22" s="312" t="s">
        <v>1058</v>
      </c>
      <c r="F22" s="156" t="s">
        <v>540</v>
      </c>
      <c r="G22" s="962"/>
      <c r="H22" s="667"/>
      <c r="I22" s="962"/>
      <c r="J22" s="667"/>
      <c r="K22" s="484" t="s">
        <v>1059</v>
      </c>
    </row>
    <row r="23" ht="33.75" hidden="1" customHeight="1">
      <c r="C23" s="127"/>
      <c r="D23" s="156">
        <v>6</v>
      </c>
      <c r="E23" s="312" t="s">
        <v>1060</v>
      </c>
      <c r="F23" s="156" t="s">
        <v>1061</v>
      </c>
      <c r="G23" s="962"/>
      <c r="H23" s="962"/>
      <c r="I23" s="962"/>
      <c r="J23" s="962"/>
      <c r="K23" s="484" t="s">
        <v>1062</v>
      </c>
    </row>
    <row r="29" ht="15" customHeight="1">
      <c r="J29" s="963"/>
    </row>
  </sheetData>
  <sheetProtection autoFilter="0" deleteColumns="0" deleteRows="0" formatCells="1" formatColumns="0" formatRows="0" insertColumns="1" insertHyperlinks="1" insertRows="0" pivotTables="1" selectLockedCells="0" selectUnlockedCells="0" sheet="0" sort="0"/>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890053-00FC-4BEF-BAF5-00D1002300F9}"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G21 I21</xm:sqref>
        </x14:dataValidation>
        <x14:dataValidation xr:uid="{008D00C1-00FA-43BA-AD28-00A7009D002D}"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G19:G20 I19:I20</xm:sqref>
        </x14:dataValidation>
        <x14:dataValidation xr:uid="{00FD0092-008C-42A5-B7A6-002B00D400B3}" type="textLength" allowBlank="1" error="Допускается ввод не более 900 символов!" errorStyle="stop" errorTitle="Ошибка" imeMode="noControl" operator="lessThanOrEqual" showDropDown="0" showErrorMessage="1" showInputMessage="1">
          <x14:formula1>
            <xm:f>900</xm:f>
          </x14:formula1>
          <xm:sqref>H19:H21 J19:J21</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AEBEE"/>
    <outlinePr applyStyles="0" summaryBelow="1" summaryRight="1" showOutlineSymbols="1"/>
    <pageSetUpPr autoPageBreaks="1" fitToPage="1"/>
  </sheetPr>
  <sheetViews>
    <sheetView showGridLines="0" topLeftCell="C4" zoomScale="90" workbookViewId="0">
      <selection activeCell="A1" activeCellId="0" sqref="A1"/>
    </sheetView>
  </sheetViews>
  <sheetFormatPr defaultColWidth="9.140625" defaultRowHeight="14.25" customHeight="1"/>
  <cols>
    <col hidden="1" min="1" max="1" style="293" width="9.140625"/>
    <col hidden="1" min="2" max="2" style="142" width="9.140625"/>
    <col customWidth="1" min="3" max="3" style="964" width="3.7109375"/>
    <col customWidth="1" min="4" max="4" style="142" width="7.00390625"/>
    <col customWidth="1" min="5" max="5" style="142" width="23.140625"/>
    <col customWidth="1" min="6" max="6" style="142" width="16.00390625"/>
    <col customWidth="1" min="7" max="7" style="142" width="14.8515625"/>
    <col customWidth="1" min="8" max="8" style="142" width="47.8515625"/>
    <col customWidth="1" min="9" max="9" style="142" width="115.7109375"/>
    <col customWidth="1" min="10" max="10" style="142" width="3.7109375"/>
    <col min="11" max="12" style="142" width="9.140625"/>
  </cols>
  <sheetData>
    <row r="1" ht="14.25" hidden="1" customHeight="1"/>
    <row r="2" ht="14.25" hidden="1" customHeight="1"/>
    <row r="3" ht="14.25" hidden="1" customHeight="1"/>
    <row r="4" ht="3" customHeight="1"/>
    <row r="5" s="50" customFormat="1" ht="30" customHeight="1">
      <c r="A5" s="56"/>
      <c r="C5" s="375"/>
      <c r="D5" s="140" t="s">
        <v>1063</v>
      </c>
      <c r="E5" s="140"/>
      <c r="F5" s="140"/>
      <c r="G5" s="140"/>
      <c r="H5" s="140"/>
      <c r="I5" s="240"/>
    </row>
    <row r="6" ht="3" hidden="1" customHeight="1">
      <c r="D6" s="333"/>
      <c r="E6" s="333"/>
      <c r="F6" s="333"/>
      <c r="G6" s="333"/>
      <c r="H6" s="333"/>
      <c r="I6" s="333"/>
    </row>
    <row r="7" s="293" customFormat="1" ht="14.25" customHeight="1">
      <c r="B7" s="142"/>
      <c r="C7" s="964"/>
      <c r="D7" s="965"/>
      <c r="E7" s="965"/>
      <c r="F7" s="965"/>
      <c r="G7" s="965"/>
      <c r="H7" s="341"/>
      <c r="I7" s="965"/>
      <c r="J7" s="966"/>
    </row>
    <row r="8" ht="14.25" customHeight="1">
      <c r="D8" s="347" t="s">
        <v>288</v>
      </c>
      <c r="E8" s="347"/>
      <c r="F8" s="347"/>
      <c r="G8" s="347"/>
      <c r="H8" s="347"/>
      <c r="I8" s="347" t="s">
        <v>289</v>
      </c>
    </row>
    <row r="9" ht="27.75" customHeight="1">
      <c r="D9" s="347" t="s">
        <v>85</v>
      </c>
      <c r="E9" s="347" t="s">
        <v>1064</v>
      </c>
      <c r="F9" s="347"/>
      <c r="G9" s="347"/>
      <c r="H9" s="347"/>
      <c r="I9" s="347"/>
    </row>
    <row r="10" ht="22.5" customHeight="1">
      <c r="D10" s="347"/>
      <c r="E10" s="347" t="s">
        <v>1065</v>
      </c>
      <c r="F10" s="347" t="s">
        <v>1066</v>
      </c>
      <c r="G10" s="347" t="s">
        <v>1067</v>
      </c>
      <c r="H10" s="347" t="s">
        <v>380</v>
      </c>
      <c r="I10" s="347"/>
    </row>
    <row r="11" ht="12" hidden="1" customHeight="1">
      <c r="D11" s="424" t="s">
        <v>111</v>
      </c>
      <c r="E11" s="424" t="s">
        <v>88</v>
      </c>
      <c r="F11" s="424" t="s">
        <v>112</v>
      </c>
      <c r="G11" s="424" t="s">
        <v>89</v>
      </c>
      <c r="H11" s="424" t="s">
        <v>90</v>
      </c>
      <c r="I11" s="424" t="s">
        <v>113</v>
      </c>
    </row>
    <row r="12" s="142" customFormat="1" ht="24.75" customHeight="1">
      <c r="A12" s="64" t="s">
        <v>87</v>
      </c>
      <c r="B12" s="142" t="s">
        <v>18</v>
      </c>
      <c r="C12" s="324"/>
      <c r="D12" s="219" t="s">
        <v>111</v>
      </c>
      <c r="E12" s="447"/>
      <c r="F12" s="447"/>
      <c r="G12" s="508" t="s">
        <v>18</v>
      </c>
      <c r="H12" s="469"/>
      <c r="I12" s="284" t="s">
        <v>1068</v>
      </c>
      <c r="K12" s="967"/>
      <c r="L12" s="166"/>
    </row>
    <row r="13" ht="15" customHeight="1">
      <c r="A13" s="142"/>
      <c r="B13" s="142"/>
      <c r="C13" s="142"/>
      <c r="D13" s="837"/>
      <c r="E13" s="179" t="s">
        <v>457</v>
      </c>
      <c r="F13" s="929"/>
      <c r="G13" s="929"/>
      <c r="H13" s="928"/>
      <c r="I13" s="288"/>
    </row>
    <row r="14" ht="3" customHeight="1">
      <c r="A14" s="142"/>
      <c r="B14" s="142"/>
      <c r="C14" s="142"/>
    </row>
    <row r="15" ht="27.75" customHeight="1">
      <c r="E15" s="968" t="s">
        <v>1069</v>
      </c>
      <c r="F15" s="968"/>
      <c r="G15" s="968"/>
      <c r="H15" s="968"/>
    </row>
  </sheetData>
  <sheetProtection autoFilter="0" deleteColumns="0" deleteRows="0" formatCells="1" formatColumns="0" formatRows="0" insertColumns="1" insertHyperlinks="1" insertRows="0" pivotTables="1" selectLockedCells="0" selectUnlockedCells="0" sheet="0" sort="0"/>
  <mergeCells count="7">
    <mergeCell ref="D5:H5"/>
    <mergeCell ref="D8:H8"/>
    <mergeCell ref="I8:I10"/>
    <mergeCell ref="D9:D10"/>
    <mergeCell ref="E9:H9"/>
    <mergeCell ref="I12:I13"/>
    <mergeCell ref="E15:H15"/>
  </mergeCells>
  <dataValidations count="1" disablePrompts="0">
    <dataValidation sqref="G1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24000000000000002" right="0.24000000000000002" top="0.24000000000000002" bottom="0.24000000000000002" header="0.24000000000000002" footer="0.24000000000000002"/>
  <pageSetup paperSize="9" scale="67" firstPageNumber="4294967295" fitToWidth="1" fitToHeight="0"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420078-00FA-4218-A977-0084003A003A}" type="textLength" allowBlank="1" error="Допускается ввод не более 900 символов!" errorStyle="stop" errorTitle="Ошибка" imeMode="noControl" operator="lessThanOrEqual" showDropDown="0" showErrorMessage="1" showInputMessage="1">
          <x14:formula1>
            <xm:f>900</xm:f>
          </x14:formula1>
          <xm:sqref>E12:F12</xm:sqref>
        </x14:dataValidation>
        <x14:dataValidation xr:uid="{00690099-000A-4550-B908-000F00860006}"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H12</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topLeftCell="C6" zoomScale="90" workbookViewId="0">
      <selection activeCell="A1" activeCellId="0" sqref="A1"/>
    </sheetView>
  </sheetViews>
  <sheetFormatPr defaultColWidth="9.140625" defaultRowHeight="14.25" customHeight="1"/>
  <cols>
    <col hidden="1" min="1" max="2" style="969" width="9.140625"/>
    <col customWidth="1" min="3" max="3" style="970" width="3.7109375"/>
    <col customWidth="1" min="4" max="4" style="969" width="6.28125"/>
    <col customWidth="1" min="5" max="5" style="969" width="94.8515625"/>
    <col min="6" max="9" style="969" width="9.140625"/>
  </cols>
  <sheetData>
    <row r="1" ht="14.25" hidden="1" customHeight="1"/>
    <row r="2" ht="14.25" hidden="1" customHeight="1"/>
    <row r="3" ht="14.25" hidden="1" customHeight="1"/>
    <row r="4" ht="14.25" hidden="1" customHeight="1"/>
    <row r="5" ht="14.25" hidden="1" customHeight="1"/>
    <row r="6" ht="3" customHeight="1">
      <c r="C6" s="971"/>
      <c r="D6" s="333"/>
      <c r="E6" s="333"/>
    </row>
    <row r="7" ht="22.5" customHeight="1">
      <c r="C7" s="971"/>
      <c r="D7" s="765" t="s">
        <v>1070</v>
      </c>
      <c r="E7" s="972"/>
      <c r="F7" s="973"/>
    </row>
    <row r="8" ht="3" customHeight="1">
      <c r="C8" s="971"/>
      <c r="D8" s="333"/>
      <c r="E8" s="333"/>
    </row>
    <row r="9" ht="15.75" customHeight="1">
      <c r="C9" s="971"/>
      <c r="D9" s="347" t="s">
        <v>85</v>
      </c>
      <c r="E9" s="156" t="s">
        <v>1071</v>
      </c>
    </row>
    <row r="10" ht="0.75" customHeight="1">
      <c r="C10" s="971"/>
      <c r="D10" s="424"/>
      <c r="E10" s="424"/>
    </row>
    <row r="11" ht="11.25" hidden="1" customHeight="1">
      <c r="C11" s="971"/>
      <c r="D11" s="974">
        <v>0</v>
      </c>
      <c r="E11" s="975"/>
    </row>
    <row r="12" ht="15" customHeight="1">
      <c r="C12" s="375"/>
      <c r="D12" s="925">
        <v>1</v>
      </c>
      <c r="E12" s="447"/>
    </row>
    <row r="13" ht="12" customHeight="1">
      <c r="C13" s="971"/>
      <c r="D13" s="438"/>
      <c r="E13" s="976" t="s">
        <v>1072</v>
      </c>
    </row>
    <row r="14" ht="3" customHeight="1"/>
    <row r="15" ht="22.5" customHeight="1">
      <c r="C15" s="977"/>
      <c r="D15" s="968" t="s">
        <v>1073</v>
      </c>
      <c r="E15" s="968"/>
      <c r="F15" s="874"/>
      <c r="G15" s="874"/>
      <c r="H15" s="874"/>
      <c r="I15" s="874"/>
    </row>
  </sheetData>
  <sheetProtection autoFilter="0" deleteColumns="0" deleteRows="0" formatCells="1" formatColumns="0" formatRows="0" insertColumns="1" insertHyperlinks="1" insertRows="0" pivotTables="1" selectLockedCells="0" selectUnlockedCells="0" sheet="0" sort="0"/>
  <mergeCells count="2">
    <mergeCell ref="D7:E7"/>
    <mergeCell ref="D15:E15"/>
  </mergeCells>
  <printOptions headings="0" gridLines="0"/>
  <pageMargins left="0.75" right="0.75" top="1" bottom="1" header="0.5" footer="0.5"/>
  <pageSetup paperSize="9" scale="94"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A50010-0089-41E0-A6A9-00DB0033006D}" type="textLength" allowBlank="1" error="Допускается ввод не более 900 символов!" errorStyle="stop" errorTitle="Ошибка" imeMode="noControl" operator="lessThanOrEqual" showDropDown="0" showErrorMessage="1" showInputMessage="1">
          <x14:formula1>
            <xm:f>900</xm:f>
          </x14:formula1>
          <xm:sqref>E11:E12</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C4" zoomScale="90" workbookViewId="0">
      <selection activeCell="A1" activeCellId="0" sqref="A1"/>
    </sheetView>
  </sheetViews>
  <sheetFormatPr defaultColWidth="9.140625" defaultRowHeight="11.25" customHeight="1"/>
  <cols>
    <col customWidth="1" hidden="1" min="1" max="2" style="334" width="15.00390625"/>
    <col customWidth="1" min="3" max="3" style="335" width="3.7109375"/>
    <col customWidth="1" min="4" max="4" style="336" width="6.8515625"/>
    <col customWidth="1" min="5" max="5" style="335" width="52.28125"/>
    <col customWidth="1" min="6" max="6" style="335" width="48.8515625"/>
    <col customWidth="1" min="7" max="7" style="335" width="93.421875"/>
    <col min="8" max="8" style="335" width="9.140625"/>
    <col customWidth="1" min="9" max="9" style="335" width="65.00390625"/>
  </cols>
  <sheetData>
    <row r="1" ht="11.25" hidden="1" customHeight="1">
      <c r="A1" s="334" t="s">
        <v>287</v>
      </c>
    </row>
    <row r="2" ht="22.5" hidden="1" customHeight="1">
      <c r="A2" s="342"/>
      <c r="B2" s="342"/>
      <c r="C2" s="89"/>
      <c r="D2" s="978"/>
      <c r="E2" s="447"/>
      <c r="F2" s="650"/>
      <c r="H2" s="352"/>
    </row>
    <row r="3" ht="11.25" hidden="1" customHeight="1"/>
    <row r="4" ht="11.25" customHeight="1">
      <c r="A4" s="979"/>
      <c r="B4" s="979"/>
    </row>
    <row r="5" ht="24" customHeight="1">
      <c r="D5" s="186" t="str">
        <f>"Форма 1. Информация об органе регулирования тарифов в сфере "&amp;TEMPLATE_SPHERE_RUS&amp;" (далее – орган регулирования тарифов)"</f>
        <v xml:space="preserve">Форма 1. Информация об органе регулирования тарифов в сфере теплоснабжения (далее – орган регулирования тарифов)</v>
      </c>
      <c r="E5" s="187"/>
      <c r="F5" s="188"/>
      <c r="I5" s="339"/>
    </row>
    <row r="6" ht="17.25" customHeight="1">
      <c r="D6" s="302" t="str">
        <f>IF(region_name=0,"Не определено",region_name)</f>
        <v xml:space="preserve">Краснодарский край</v>
      </c>
      <c r="E6" s="302"/>
      <c r="F6" s="302"/>
      <c r="I6" s="339"/>
    </row>
    <row r="7" s="337" customFormat="1" ht="11.25" customHeight="1">
      <c r="A7" s="334"/>
      <c r="B7" s="334"/>
      <c r="D7" s="340"/>
      <c r="E7" s="340"/>
      <c r="F7" s="341"/>
      <c r="G7" s="340"/>
    </row>
    <row r="8" ht="11.25" hidden="1" customHeight="1">
      <c r="A8" s="342"/>
      <c r="B8" s="342"/>
      <c r="C8" s="89"/>
      <c r="D8" s="83"/>
      <c r="E8" s="343"/>
      <c r="F8" s="343"/>
    </row>
    <row r="9" ht="11.25" customHeight="1">
      <c r="A9" s="342"/>
      <c r="B9" s="342"/>
      <c r="C9" s="89"/>
      <c r="D9" s="344" t="s">
        <v>288</v>
      </c>
      <c r="E9" s="345"/>
      <c r="F9" s="345"/>
      <c r="G9" s="346" t="s">
        <v>289</v>
      </c>
    </row>
    <row r="10" ht="11.25" customHeight="1">
      <c r="A10" s="342"/>
      <c r="B10" s="342"/>
      <c r="C10" s="89"/>
      <c r="D10" s="345" t="s">
        <v>85</v>
      </c>
      <c r="E10" s="346" t="s">
        <v>290</v>
      </c>
      <c r="F10" s="346" t="s">
        <v>291</v>
      </c>
      <c r="G10" s="347"/>
    </row>
    <row r="11" ht="0.75" customHeight="1">
      <c r="A11" s="342"/>
      <c r="B11" s="342"/>
      <c r="C11" s="89"/>
      <c r="D11" s="348"/>
      <c r="E11" s="348"/>
      <c r="F11" s="348"/>
      <c r="G11" s="348"/>
    </row>
    <row r="12" ht="22.5" customHeight="1">
      <c r="A12" s="342"/>
      <c r="B12" s="342"/>
      <c r="C12" s="89"/>
      <c r="D12" s="978">
        <v>1</v>
      </c>
      <c r="E12" s="355" t="s">
        <v>1074</v>
      </c>
      <c r="F12" s="980" t="str">
        <f>IF(org="","",org)</f>
        <v xml:space="preserve">филиал ПАО "ОГК-2" - Адлерская ТЭС</v>
      </c>
      <c r="G12" s="355" t="s">
        <v>1075</v>
      </c>
      <c r="H12" s="981"/>
    </row>
    <row r="13" ht="18.75" customHeight="1">
      <c r="A13" s="342"/>
      <c r="B13" s="342"/>
      <c r="C13" s="89"/>
      <c r="D13" s="978">
        <v>2</v>
      </c>
      <c r="E13" s="483" t="s">
        <v>1076</v>
      </c>
      <c r="F13" s="156" t="s">
        <v>294</v>
      </c>
      <c r="G13" s="355"/>
      <c r="H13" s="981"/>
    </row>
    <row r="14" ht="18.75" customHeight="1">
      <c r="A14" s="342"/>
      <c r="B14" s="342"/>
      <c r="C14" s="89"/>
      <c r="D14" s="311" t="s">
        <v>604</v>
      </c>
      <c r="E14" s="655" t="s">
        <v>1077</v>
      </c>
      <c r="F14" s="447"/>
      <c r="G14" s="484" t="s">
        <v>1078</v>
      </c>
      <c r="H14" s="981"/>
    </row>
    <row r="15" ht="18.75" customHeight="1">
      <c r="A15" s="342"/>
      <c r="B15" s="342"/>
      <c r="C15" s="89"/>
      <c r="D15" s="311" t="s">
        <v>295</v>
      </c>
      <c r="E15" s="655" t="s">
        <v>1079</v>
      </c>
      <c r="F15" s="447"/>
      <c r="G15" s="484" t="s">
        <v>1080</v>
      </c>
      <c r="H15" s="981"/>
    </row>
    <row r="16" ht="36.75" customHeight="1">
      <c r="A16" s="342"/>
      <c r="B16" s="342"/>
      <c r="C16" s="89"/>
      <c r="D16" s="311" t="s">
        <v>298</v>
      </c>
      <c r="E16" s="493" t="s">
        <v>1081</v>
      </c>
      <c r="F16" s="383"/>
      <c r="G16" s="355" t="s">
        <v>1082</v>
      </c>
      <c r="H16" s="981"/>
    </row>
    <row r="17" ht="45" customHeight="1">
      <c r="A17" s="342"/>
      <c r="B17" s="342"/>
      <c r="C17" s="89"/>
      <c r="D17" s="978">
        <v>3</v>
      </c>
      <c r="E17" s="483" t="s">
        <v>1083</v>
      </c>
      <c r="F17" s="447"/>
      <c r="G17" s="355" t="s">
        <v>1084</v>
      </c>
      <c r="H17" s="981"/>
    </row>
    <row r="18" ht="45" customHeight="1">
      <c r="A18" s="982">
        <v>1</v>
      </c>
      <c r="B18" s="342"/>
      <c r="C18" s="359"/>
      <c r="D18" s="978" t="s">
        <v>88</v>
      </c>
      <c r="E18" s="483" t="s">
        <v>1085</v>
      </c>
      <c r="F18" s="447"/>
      <c r="G18" s="355" t="s">
        <v>1084</v>
      </c>
      <c r="H18" s="981"/>
      <c r="I18" s="361"/>
    </row>
    <row r="19" ht="22.5" customHeight="1">
      <c r="A19" s="342"/>
      <c r="B19" s="342"/>
      <c r="C19" s="89"/>
      <c r="D19" s="978" t="s">
        <v>112</v>
      </c>
      <c r="E19" s="483" t="s">
        <v>1086</v>
      </c>
      <c r="F19" s="156" t="s">
        <v>294</v>
      </c>
      <c r="G19" s="983" t="s">
        <v>1087</v>
      </c>
      <c r="H19" s="352"/>
    </row>
    <row r="20" s="984" customFormat="1" ht="5.25" hidden="1" customHeight="1">
      <c r="A20" s="342"/>
      <c r="B20" s="342"/>
      <c r="C20" s="985"/>
      <c r="D20" s="986" t="s">
        <v>1013</v>
      </c>
      <c r="E20" s="366"/>
      <c r="F20" s="157"/>
      <c r="G20" s="987"/>
    </row>
    <row r="21" ht="15" customHeight="1">
      <c r="A21" s="342"/>
      <c r="B21" s="342"/>
      <c r="C21" s="89"/>
      <c r="D21" s="378"/>
      <c r="E21" s="174" t="s">
        <v>329</v>
      </c>
      <c r="F21" s="379"/>
      <c r="G21" s="988"/>
      <c r="H21" s="981"/>
    </row>
    <row r="22" s="334" customFormat="1" ht="24.75" customHeight="1">
      <c r="A22" s="342"/>
      <c r="B22" s="342"/>
      <c r="C22" s="342"/>
      <c r="D22" s="978" t="s">
        <v>89</v>
      </c>
      <c r="E22" s="355" t="s">
        <v>1088</v>
      </c>
      <c r="F22" s="447"/>
      <c r="G22" s="355" t="s">
        <v>1089</v>
      </c>
      <c r="H22" s="989"/>
    </row>
    <row r="23" s="334" customFormat="1" ht="18.75" customHeight="1">
      <c r="A23" s="342"/>
      <c r="B23" s="342"/>
      <c r="C23" s="342"/>
      <c r="D23" s="978" t="s">
        <v>90</v>
      </c>
      <c r="E23" s="483" t="s">
        <v>1090</v>
      </c>
      <c r="F23" s="383"/>
      <c r="G23" s="355" t="s">
        <v>1091</v>
      </c>
      <c r="H23" s="989"/>
    </row>
    <row r="24" ht="11.25" customHeight="1">
      <c r="A24" s="342"/>
      <c r="B24" s="342"/>
      <c r="C24" s="89"/>
    </row>
  </sheetData>
  <sheetProtection autoFilter="0" deleteColumns="0" deleteRows="0" formatCells="1" formatColumns="0" formatRows="0" insertColumns="1" insertHyperlinks="1" insertRows="0" pivotTables="1" selectLockedCells="0" selectUnlockedCells="0" sheet="0" sort="0"/>
  <mergeCells count="6">
    <mergeCell ref="D5:F5"/>
    <mergeCell ref="D6:F6"/>
    <mergeCell ref="E8:F8"/>
    <mergeCell ref="D9:F9"/>
    <mergeCell ref="G9:G10"/>
    <mergeCell ref="G19:G21"/>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CB0069-00C9-482B-AF0C-002D0000005C}" type="textLength" allowBlank="1" error="Допускается ввод не более 900 символов!" errorStyle="stop" errorTitle="Ошибка" imeMode="noControl" operator="lessThanOrEqual" showDropDown="0" showErrorMessage="1" showInputMessage="1">
          <x14:formula1>
            <xm:f>900</xm:f>
          </x14:formula1>
          <xm:sqref>F12 F14:F18 F22:F23</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D4" zoomScale="90" workbookViewId="0">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7" width="3.8515625"/>
    <col customWidth="1" min="5" max="5" style="50" width="6.28125"/>
    <col customWidth="1" min="6" max="6" style="50" width="46.7109375"/>
    <col customWidth="1" min="7" max="8" style="50" width="16.7109375"/>
    <col customWidth="1" min="9" max="9" style="50" width="35.28125"/>
    <col customWidth="1" min="10" max="10" style="50" width="89.57421875"/>
    <col customWidth="1" min="11" max="11" style="128" width="3.7109375"/>
    <col min="12" max="14" style="128" width="9.140625"/>
    <col customWidth="1" min="15" max="15" style="128" width="25.7109375"/>
    <col customWidth="1" min="16" max="16" style="128" width="14.421875"/>
    <col min="17" max="20" style="129" width="9.140625"/>
    <col min="21" max="254" style="50" width="9.140625"/>
  </cols>
  <sheetData>
    <row r="1" ht="14.25" hidden="1" customHeight="1"/>
    <row r="2" s="63" customFormat="1" ht="22.5" hidden="1" customHeight="1">
      <c r="A2" s="120"/>
      <c r="B2" s="53">
        <v>1</v>
      </c>
      <c r="C2" s="53"/>
      <c r="D2" s="171"/>
      <c r="E2" s="156"/>
      <c r="F2" s="384"/>
      <c r="G2" s="384"/>
      <c r="H2" s="384"/>
      <c r="I2" s="990"/>
      <c r="J2" s="135"/>
      <c r="K2" s="991" t="e">
        <f>MERGEVALUE(F2)</f>
        <v>#NAME?</v>
      </c>
      <c r="L2" s="57"/>
      <c r="M2" s="57"/>
      <c r="N2" s="128" t="str">
        <f t="array" ref="N2">IF(ISERROR(MATCH(MID(O2,1,250),MID(note_ter,1,250),0)),"n","y")</f>
        <v>n</v>
      </c>
      <c r="O2" s="57"/>
      <c r="P2" s="128" t="str">
        <f>G2&amp;"("&amp;J2&amp;")"</f>
        <v>()</v>
      </c>
      <c r="Q2" s="53"/>
      <c r="R2" s="53"/>
      <c r="S2" s="165"/>
      <c r="T2" s="53"/>
      <c r="U2" s="53"/>
      <c r="V2" s="53"/>
      <c r="W2" s="64"/>
      <c r="X2" s="64"/>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64"/>
      <c r="BU2" s="64"/>
      <c r="BV2" s="64"/>
      <c r="BW2" s="64"/>
      <c r="BX2" s="64"/>
      <c r="BY2" s="64"/>
      <c r="BZ2" s="64"/>
      <c r="CA2" s="64"/>
      <c r="CB2" s="64"/>
      <c r="CC2" s="64"/>
    </row>
    <row r="3" s="57" customFormat="1" ht="5.25" hidden="1" customHeight="1">
      <c r="A3" s="130"/>
      <c r="D3" s="131"/>
      <c r="F3" s="132" t="s">
        <v>80</v>
      </c>
      <c r="G3" s="131" t="s">
        <v>81</v>
      </c>
      <c r="H3" s="131"/>
      <c r="I3" s="131"/>
      <c r="J3" s="133" t="s">
        <v>82</v>
      </c>
      <c r="K3" s="132" t="s">
        <v>80</v>
      </c>
      <c r="L3" s="132"/>
      <c r="M3" s="132"/>
      <c r="N3" s="132"/>
      <c r="O3" s="132"/>
      <c r="P3" s="132"/>
      <c r="Q3" s="132"/>
      <c r="R3" s="132"/>
      <c r="S3" s="132"/>
      <c r="T3" s="132"/>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row>
    <row r="4" s="138" customFormat="1" ht="14.25" customHeight="1">
      <c r="A4" s="50"/>
      <c r="B4" s="53"/>
      <c r="C4" s="50"/>
      <c r="D4" s="127"/>
      <c r="E4" s="50"/>
      <c r="F4" s="50"/>
      <c r="G4" s="50"/>
      <c r="H4" s="50"/>
      <c r="I4" s="50"/>
      <c r="J4" s="139"/>
      <c r="K4" s="132"/>
      <c r="L4" s="128"/>
      <c r="M4" s="128"/>
      <c r="N4" s="128"/>
      <c r="O4" s="128"/>
      <c r="P4" s="128"/>
      <c r="Q4" s="129"/>
      <c r="R4" s="129"/>
      <c r="S4" s="129"/>
      <c r="T4" s="129"/>
    </row>
    <row r="5" s="138" customFormat="1" ht="25.5" customHeight="1">
      <c r="A5" s="50"/>
      <c r="B5" s="53"/>
      <c r="C5" s="50"/>
      <c r="D5" s="127"/>
      <c r="E5" s="1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 xml:space="preserve">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40"/>
      <c r="G5" s="140"/>
      <c r="H5" s="140"/>
      <c r="I5" s="140"/>
      <c r="J5" s="140"/>
      <c r="K5" s="132"/>
      <c r="L5" s="128"/>
      <c r="M5" s="128"/>
      <c r="N5" s="128"/>
      <c r="O5" s="128"/>
      <c r="P5" s="128"/>
      <c r="Q5" s="129"/>
      <c r="R5" s="129"/>
      <c r="S5" s="129"/>
      <c r="T5" s="129"/>
    </row>
    <row r="6" s="138" customFormat="1" ht="14.25" customHeight="1">
      <c r="A6" s="50"/>
      <c r="B6" s="53"/>
      <c r="C6" s="50"/>
      <c r="D6" s="127"/>
      <c r="E6" s="50"/>
      <c r="F6" s="141"/>
      <c r="G6" s="141"/>
      <c r="H6" s="141"/>
      <c r="I6" s="141"/>
      <c r="J6" s="120"/>
      <c r="K6" s="128"/>
      <c r="L6" s="128"/>
      <c r="M6" s="128"/>
      <c r="N6" s="128"/>
      <c r="O6" s="128"/>
      <c r="P6" s="128"/>
      <c r="Q6" s="129"/>
      <c r="R6" s="129"/>
      <c r="S6" s="129"/>
      <c r="T6" s="129"/>
    </row>
    <row r="7" s="138" customFormat="1" ht="14.25" customHeight="1">
      <c r="A7" s="50"/>
      <c r="B7" s="53"/>
      <c r="C7" s="50"/>
      <c r="D7" s="127"/>
      <c r="E7" s="73" t="s">
        <v>288</v>
      </c>
      <c r="F7" s="144"/>
      <c r="G7" s="144"/>
      <c r="H7" s="144"/>
      <c r="I7" s="144"/>
      <c r="J7" s="809" t="s">
        <v>289</v>
      </c>
      <c r="K7" s="128"/>
      <c r="L7" s="128"/>
      <c r="M7" s="128"/>
      <c r="N7" s="128"/>
      <c r="O7" s="128"/>
      <c r="P7" s="128"/>
      <c r="Q7" s="129"/>
      <c r="R7" s="129"/>
      <c r="S7" s="129"/>
      <c r="T7" s="129"/>
    </row>
    <row r="8" s="138" customFormat="1" ht="20.25" customHeight="1">
      <c r="A8" s="50"/>
      <c r="B8" s="53"/>
      <c r="C8" s="50"/>
      <c r="D8" s="127"/>
      <c r="E8" s="992" t="s">
        <v>85</v>
      </c>
      <c r="F8" s="993" t="s">
        <v>1092</v>
      </c>
      <c r="G8" s="993" t="s">
        <v>45</v>
      </c>
      <c r="H8" s="993" t="s">
        <v>47</v>
      </c>
      <c r="I8" s="993" t="s">
        <v>1093</v>
      </c>
      <c r="J8" s="994"/>
      <c r="K8" s="128"/>
      <c r="L8" s="128"/>
      <c r="M8" s="128"/>
      <c r="N8" s="128"/>
      <c r="O8" s="128"/>
      <c r="P8" s="128"/>
      <c r="Q8" s="129"/>
      <c r="R8" s="129"/>
      <c r="S8" s="129"/>
      <c r="T8" s="129"/>
    </row>
    <row r="9" s="63" customFormat="1" ht="22.5" customHeight="1">
      <c r="A9" s="51"/>
      <c r="B9" s="53">
        <v>1</v>
      </c>
      <c r="C9" s="53"/>
      <c r="D9" s="171"/>
      <c r="E9" s="156">
        <v>1</v>
      </c>
      <c r="F9" s="995"/>
      <c r="G9" s="384"/>
      <c r="H9" s="384"/>
      <c r="I9" s="990"/>
      <c r="J9" s="996" t="s">
        <v>1094</v>
      </c>
      <c r="K9" s="991" t="e">
        <f>MERGEVALUE(F9)</f>
        <v>#NAME?</v>
      </c>
      <c r="L9" s="57"/>
      <c r="M9" s="57"/>
      <c r="N9" s="128" t="str">
        <f t="array" ref="N9">IF(ISERROR(MATCH(MID(O9,1,250),MID(note_ter,1,250),0)),"n","y")</f>
        <v>n</v>
      </c>
      <c r="O9" s="57"/>
      <c r="P9" s="128" t="str">
        <f>G9&amp;"("&amp;J9&amp;")"</f>
        <v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3"/>
      <c r="R9" s="53"/>
      <c r="S9" s="165"/>
      <c r="T9" s="53"/>
      <c r="U9" s="53"/>
      <c r="V9" s="53"/>
      <c r="W9" s="64"/>
      <c r="X9" s="64"/>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64"/>
      <c r="BU9" s="64"/>
      <c r="BV9" s="64"/>
      <c r="BW9" s="64"/>
      <c r="BX9" s="64"/>
      <c r="BY9" s="64"/>
      <c r="BZ9" s="64"/>
      <c r="CA9" s="64"/>
      <c r="CB9" s="64"/>
      <c r="CC9" s="64"/>
    </row>
    <row r="10" s="63" customFormat="1" ht="15" customHeight="1">
      <c r="A10" s="51"/>
      <c r="B10" s="53"/>
      <c r="C10" s="170"/>
      <c r="D10" s="171"/>
      <c r="E10" s="997"/>
      <c r="F10" s="681" t="s">
        <v>1095</v>
      </c>
      <c r="G10" s="998"/>
      <c r="H10" s="998"/>
      <c r="I10" s="998"/>
      <c r="J10" s="999"/>
      <c r="K10" s="1000"/>
      <c r="L10" s="57"/>
      <c r="M10" s="57"/>
      <c r="N10" s="57"/>
      <c r="O10" s="128"/>
      <c r="P10" s="57"/>
      <c r="Q10" s="53"/>
      <c r="R10" s="53"/>
      <c r="S10" s="165"/>
      <c r="T10" s="53"/>
      <c r="U10" s="53"/>
      <c r="V10" s="53"/>
      <c r="W10" s="64"/>
      <c r="X10" s="64"/>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64"/>
      <c r="BU10" s="64"/>
      <c r="BV10" s="64"/>
      <c r="BW10" s="64"/>
      <c r="BX10" s="64"/>
      <c r="BY10" s="64"/>
      <c r="BZ10" s="64"/>
      <c r="CA10" s="64"/>
      <c r="CB10" s="64"/>
      <c r="CC10" s="64"/>
    </row>
    <row r="11" s="138" customFormat="1" ht="21" customHeight="1">
      <c r="A11" s="50"/>
      <c r="B11" s="53"/>
      <c r="C11" s="50"/>
      <c r="D11" s="127"/>
      <c r="E11" s="181"/>
      <c r="F11" s="181"/>
      <c r="G11" s="181"/>
      <c r="H11" s="181"/>
      <c r="I11" s="181"/>
      <c r="J11" s="181"/>
      <c r="K11" s="128"/>
      <c r="L11" s="128"/>
      <c r="M11" s="128"/>
      <c r="N11" s="128"/>
      <c r="O11" s="128"/>
      <c r="P11" s="128"/>
      <c r="Q11" s="129"/>
      <c r="R11" s="129"/>
      <c r="S11" s="129"/>
      <c r="T11" s="129"/>
    </row>
    <row r="12" s="138" customFormat="1" ht="14.25" customHeight="1">
      <c r="A12" s="50"/>
      <c r="B12" s="53"/>
      <c r="C12" s="50"/>
      <c r="D12" s="127"/>
      <c r="E12" s="50"/>
      <c r="F12" s="50"/>
      <c r="G12" s="50"/>
      <c r="H12" s="50"/>
      <c r="I12" s="50"/>
      <c r="J12" s="50"/>
      <c r="K12" s="128"/>
      <c r="L12" s="128"/>
      <c r="M12" s="128"/>
      <c r="N12" s="128"/>
      <c r="O12" s="128"/>
      <c r="P12" s="128"/>
      <c r="Q12" s="129"/>
      <c r="R12" s="129"/>
      <c r="S12" s="129"/>
      <c r="T12" s="129"/>
    </row>
    <row r="13" s="138" customFormat="1" ht="0.75" customHeight="1">
      <c r="A13" s="50"/>
      <c r="B13" s="53"/>
      <c r="C13" s="50"/>
      <c r="D13" s="127"/>
      <c r="E13" s="50"/>
      <c r="F13" s="50"/>
      <c r="G13" s="50"/>
      <c r="H13" s="50"/>
      <c r="I13" s="50"/>
      <c r="J13" s="50"/>
      <c r="K13" s="128"/>
      <c r="L13" s="128"/>
      <c r="M13" s="128"/>
      <c r="N13" s="128"/>
      <c r="O13" s="128"/>
      <c r="P13" s="128"/>
      <c r="Q13" s="129"/>
      <c r="R13" s="129"/>
      <c r="S13" s="129"/>
      <c r="T13" s="129"/>
    </row>
    <row r="14" s="182" customFormat="1" ht="10.5" customHeight="1">
      <c r="B14" s="183"/>
      <c r="D14" s="184"/>
      <c r="K14" s="128"/>
      <c r="L14" s="128"/>
      <c r="M14" s="128"/>
      <c r="N14" s="128"/>
      <c r="O14" s="128"/>
      <c r="P14" s="128"/>
      <c r="Q14" s="129"/>
      <c r="R14" s="129"/>
      <c r="S14" s="129"/>
      <c r="T14" s="129"/>
    </row>
    <row r="15" s="182" customFormat="1" ht="10.5" customHeight="1">
      <c r="B15" s="183"/>
      <c r="D15" s="184"/>
      <c r="K15" s="128"/>
      <c r="L15" s="128"/>
      <c r="M15" s="128"/>
      <c r="N15" s="128"/>
      <c r="O15" s="128"/>
      <c r="P15" s="128"/>
      <c r="Q15" s="129"/>
      <c r="R15" s="129"/>
      <c r="S15" s="129"/>
      <c r="T15" s="129"/>
    </row>
    <row r="19" ht="14.25" customHeight="1"/>
    <row r="23" ht="14.25" customHeight="1">
      <c r="K23" s="50"/>
      <c r="L23" s="50"/>
      <c r="M23" s="50"/>
    </row>
  </sheetData>
  <sheetProtection autoFilter="0" deleteColumns="0" deleteRows="0" formatCells="1" formatColumns="0" formatRows="0" insertColumns="1" insertHyperlinks="1" insertRows="0" pivotTables="1" selectLockedCells="0" selectUnlockedCells="0" sheet="0" sort="0"/>
  <mergeCells count="5">
    <mergeCell ref="E5:J5"/>
    <mergeCell ref="E7:I7"/>
    <mergeCell ref="J7:J8"/>
    <mergeCell ref="A9:A10"/>
    <mergeCell ref="J9:J10"/>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D50028-001E-4BEC-8DCA-00FD006E00D1}" type="textLength" allowBlank="1" errorStyle="stop" imeMode="noControl" operator="between" showDropDown="0" showErrorMessage="1" showInputMessage="1">
          <x14:formula1>
            <xm:f>13</xm:f>
          </x14:formula1>
          <x14:formula2>
            <xm:f>15</xm:f>
          </x14:formula2>
          <xm:sqref>I2:I3 I9</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D4" zoomScale="90" workbookViewId="0">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7" width="3.8515625"/>
    <col customWidth="1" min="5" max="5" style="50" width="6.28125"/>
    <col customWidth="1" min="6" max="6" style="50" width="27.28125"/>
    <col customWidth="1" min="7" max="7" style="50" width="16.7109375"/>
    <col customWidth="1" min="8" max="8" style="50" width="12.7109375"/>
    <col customWidth="1" min="9" max="9" style="50" width="32.140625"/>
    <col customWidth="1" min="10" max="11" style="50" width="41.8515625"/>
    <col customWidth="1" min="12" max="12" style="50" width="89.57421875"/>
    <col customWidth="1" min="13" max="13" style="128" width="3.7109375"/>
    <col min="14" max="16" style="128" width="9.140625"/>
    <col customWidth="1" min="17" max="17" style="128" width="25.7109375"/>
    <col customWidth="1" min="18" max="18" style="128" width="14.421875"/>
    <col min="19" max="22" style="129" width="9.140625"/>
    <col min="23" max="256" style="50" width="9.140625"/>
  </cols>
  <sheetData>
    <row r="1" ht="14.25" hidden="1" customHeight="1"/>
    <row r="2" s="63" customFormat="1" ht="22.5" hidden="1" customHeight="1">
      <c r="A2" s="120"/>
      <c r="B2" s="53">
        <v>1</v>
      </c>
      <c r="C2" s="53"/>
      <c r="D2" s="171"/>
      <c r="E2" s="156"/>
      <c r="F2" s="1001" t="str">
        <f>IF(ROIV_INFO_NAME="","",ROIV_INFO_NAME)</f>
        <v xml:space="preserve">филиал ПАО "ОГК-2" - Адлерская ТЭС</v>
      </c>
      <c r="G2" s="87" t="s">
        <v>18</v>
      </c>
      <c r="H2" s="990"/>
      <c r="I2" s="990"/>
      <c r="J2" s="469"/>
      <c r="K2" s="469"/>
      <c r="L2" s="135"/>
      <c r="M2" s="991" t="e">
        <f>MERGEVALUE(F2)</f>
        <v>#NAME?</v>
      </c>
      <c r="N2" s="57"/>
      <c r="O2" s="57"/>
      <c r="P2" s="128" t="str">
        <f t="array" ref="P2">IF(ISERROR(MATCH(MID(Q2,1,250),MID(note_ter,1,250),0)),"n","y")</f>
        <v>n</v>
      </c>
      <c r="Q2" s="57"/>
      <c r="R2" s="128" t="str">
        <f>G2&amp;"("&amp;L2&amp;")"</f>
        <v>()</v>
      </c>
      <c r="S2" s="53"/>
      <c r="T2" s="53"/>
      <c r="U2" s="165"/>
      <c r="V2" s="53"/>
      <c r="W2" s="53"/>
      <c r="X2" s="53"/>
      <c r="Y2" s="64"/>
      <c r="Z2" s="64"/>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64"/>
      <c r="BW2" s="64"/>
      <c r="BX2" s="64"/>
      <c r="BY2" s="64"/>
      <c r="BZ2" s="64"/>
      <c r="CA2" s="64"/>
      <c r="CB2" s="64"/>
      <c r="CC2" s="64"/>
      <c r="CD2" s="64"/>
      <c r="CE2" s="64"/>
    </row>
    <row r="3" s="57" customFormat="1" ht="5.25" hidden="1" customHeight="1">
      <c r="A3" s="130"/>
      <c r="D3" s="131"/>
      <c r="F3" s="132" t="s">
        <v>80</v>
      </c>
      <c r="G3" s="1002" t="s">
        <v>81</v>
      </c>
      <c r="H3" s="131"/>
      <c r="I3" s="131"/>
      <c r="J3" s="131"/>
      <c r="K3" s="131"/>
      <c r="L3" s="133" t="s">
        <v>82</v>
      </c>
      <c r="M3" s="132" t="s">
        <v>80</v>
      </c>
      <c r="N3" s="132"/>
      <c r="O3" s="132"/>
      <c r="P3" s="132"/>
      <c r="Q3" s="132"/>
      <c r="R3" s="132"/>
      <c r="S3" s="132"/>
      <c r="T3" s="132"/>
      <c r="U3" s="132"/>
      <c r="V3" s="132"/>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row>
    <row r="4" s="138" customFormat="1" ht="14.25" customHeight="1">
      <c r="A4" s="50"/>
      <c r="B4" s="53"/>
      <c r="C4" s="50"/>
      <c r="D4" s="127"/>
      <c r="E4" s="50"/>
      <c r="F4" s="50"/>
      <c r="G4" s="50"/>
      <c r="H4" s="50"/>
      <c r="I4" s="50"/>
      <c r="J4" s="50"/>
      <c r="K4" s="50"/>
      <c r="L4" s="139"/>
      <c r="M4" s="132"/>
      <c r="N4" s="128"/>
      <c r="O4" s="128"/>
      <c r="P4" s="128"/>
      <c r="Q4" s="128"/>
      <c r="R4" s="128"/>
      <c r="S4" s="129"/>
      <c r="T4" s="129"/>
      <c r="U4" s="129"/>
      <c r="V4" s="129"/>
    </row>
    <row r="5" s="138" customFormat="1" ht="25.5" customHeight="1">
      <c r="A5" s="50"/>
      <c r="B5" s="53"/>
      <c r="C5" s="50"/>
      <c r="D5" s="127"/>
      <c r="E5" s="140" t="str">
        <f>"Форма 3. Информация о рассмотрении дел об установлении тарифов в сфере "&amp;TEMPLATE_SPHERE_RUS</f>
        <v xml:space="preserve">Форма 3. Информация о рассмотрении дел об установлении тарифов в сфере теплоснабжения</v>
      </c>
      <c r="F5" s="140"/>
      <c r="G5" s="140"/>
      <c r="H5" s="140"/>
      <c r="I5" s="140"/>
      <c r="J5" s="140"/>
      <c r="K5" s="140"/>
      <c r="L5" s="50"/>
      <c r="M5" s="132"/>
      <c r="N5" s="128"/>
      <c r="O5" s="128"/>
      <c r="P5" s="128"/>
      <c r="Q5" s="128"/>
      <c r="R5" s="128"/>
      <c r="S5" s="129"/>
      <c r="T5" s="129"/>
      <c r="U5" s="129"/>
      <c r="V5" s="129"/>
    </row>
    <row r="6" s="138" customFormat="1" ht="14.25" customHeight="1">
      <c r="A6" s="50"/>
      <c r="B6" s="53"/>
      <c r="C6" s="50"/>
      <c r="D6" s="127"/>
      <c r="E6" s="50"/>
      <c r="F6" s="141"/>
      <c r="G6" s="141"/>
      <c r="H6" s="141"/>
      <c r="I6" s="141"/>
      <c r="J6" s="141"/>
      <c r="K6" s="141"/>
      <c r="L6" s="120"/>
      <c r="M6" s="128"/>
      <c r="N6" s="128"/>
      <c r="O6" s="128"/>
      <c r="P6" s="128"/>
      <c r="Q6" s="128"/>
      <c r="R6" s="128"/>
      <c r="S6" s="129"/>
      <c r="T6" s="129"/>
      <c r="U6" s="129"/>
      <c r="V6" s="129"/>
    </row>
    <row r="7" s="138" customFormat="1" ht="14.25" customHeight="1">
      <c r="A7" s="50"/>
      <c r="B7" s="53"/>
      <c r="C7" s="50"/>
      <c r="D7" s="127"/>
      <c r="E7" s="73" t="s">
        <v>288</v>
      </c>
      <c r="F7" s="144"/>
      <c r="G7" s="144"/>
      <c r="H7" s="144"/>
      <c r="I7" s="144"/>
      <c r="J7" s="144"/>
      <c r="K7" s="144"/>
      <c r="L7" s="809" t="s">
        <v>289</v>
      </c>
      <c r="M7" s="128"/>
      <c r="N7" s="128"/>
      <c r="O7" s="128"/>
      <c r="P7" s="128"/>
      <c r="Q7" s="128"/>
      <c r="R7" s="128"/>
      <c r="S7" s="129"/>
      <c r="T7" s="129"/>
      <c r="U7" s="129"/>
      <c r="V7" s="129"/>
    </row>
    <row r="8" s="138" customFormat="1" ht="47.25" customHeight="1">
      <c r="A8" s="50"/>
      <c r="B8" s="53"/>
      <c r="C8" s="50"/>
      <c r="D8" s="127"/>
      <c r="E8" s="993" t="s">
        <v>85</v>
      </c>
      <c r="F8" s="993" t="s">
        <v>1074</v>
      </c>
      <c r="G8" s="146" t="str">
        <f>"Заседание правления (коллегии органа регулирования тарифов, на котором планируется рассмотрение дела об установлении тарифов в сфере "&amp;TEMPLATE_SPHERE_RUS</f>
        <v xml:space="preserve">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1003"/>
      <c r="I8" s="1004"/>
      <c r="J8" s="993" t="str">
        <f>"Принятые органом регулирования тарифов решения об установлении тарифов в сфере "&amp;TEMPLATE_SPHERE_RUS</f>
        <v xml:space="preserve">Принятые органом регулирования тарифов решения об установлении тарифов в сфере теплоснабжения</v>
      </c>
      <c r="K8" s="99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 xml:space="preserve">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1005"/>
      <c r="M8" s="128"/>
      <c r="N8" s="128"/>
      <c r="O8" s="128"/>
      <c r="P8" s="128"/>
      <c r="Q8" s="128"/>
      <c r="R8" s="128"/>
      <c r="S8" s="129"/>
      <c r="T8" s="129"/>
      <c r="U8" s="129"/>
      <c r="V8" s="129"/>
    </row>
    <row r="9" s="138" customFormat="1" ht="56.25" customHeight="1">
      <c r="A9" s="50"/>
      <c r="B9" s="53"/>
      <c r="C9" s="50"/>
      <c r="D9" s="127"/>
      <c r="E9" s="1006"/>
      <c r="F9" s="1006"/>
      <c r="G9" s="1006" t="s">
        <v>1096</v>
      </c>
      <c r="H9" s="1006" t="s">
        <v>1097</v>
      </c>
      <c r="I9" s="1006" t="s">
        <v>1098</v>
      </c>
      <c r="J9" s="1006"/>
      <c r="K9" s="1006"/>
      <c r="L9" s="994"/>
      <c r="M9" s="128"/>
      <c r="N9" s="128"/>
      <c r="O9" s="128"/>
      <c r="P9" s="128"/>
      <c r="Q9" s="128"/>
      <c r="R9" s="128"/>
      <c r="S9" s="129"/>
      <c r="T9" s="129"/>
      <c r="U9" s="129"/>
      <c r="V9" s="129"/>
    </row>
    <row r="10" s="63" customFormat="1" ht="22.5" customHeight="1">
      <c r="A10" s="51"/>
      <c r="B10" s="53">
        <v>1</v>
      </c>
      <c r="C10" s="53"/>
      <c r="D10" s="160"/>
      <c r="E10" s="161">
        <v>1</v>
      </c>
      <c r="F10" s="1001" t="str">
        <f>IF(ROIV_INFO_NAME="","",ROIV_INFO_NAME)</f>
        <v xml:space="preserve">филиал ПАО "ОГК-2" - Адлерская ТЭС</v>
      </c>
      <c r="G10" s="87" t="s">
        <v>18</v>
      </c>
      <c r="H10" s="1007"/>
      <c r="I10" s="1007"/>
      <c r="J10" s="469"/>
      <c r="K10" s="469"/>
      <c r="L10" s="996" t="s">
        <v>1099</v>
      </c>
      <c r="M10" s="991" t="e">
        <f>MERGEVALUE(F10)</f>
        <v>#NAME?</v>
      </c>
      <c r="N10" s="57"/>
      <c r="O10" s="57"/>
      <c r="P10" s="128" t="str">
        <f t="array" ref="P10">IF(ISERROR(MATCH(MID(Q10,1,250),MID(note_ter,1,250),0)),"n","y")</f>
        <v>n</v>
      </c>
      <c r="Q10" s="57"/>
      <c r="R10" s="128" t="str">
        <f>G10&amp;"("&amp;L10&amp;")"</f>
        <v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53"/>
      <c r="T10" s="53"/>
      <c r="U10" s="165"/>
      <c r="V10" s="53"/>
      <c r="W10" s="53"/>
      <c r="X10" s="53"/>
      <c r="Y10" s="64"/>
      <c r="Z10" s="64"/>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64"/>
      <c r="BW10" s="64"/>
      <c r="BX10" s="64"/>
      <c r="BY10" s="64"/>
      <c r="BZ10" s="64"/>
      <c r="CA10" s="64"/>
      <c r="CB10" s="64"/>
      <c r="CC10" s="64"/>
      <c r="CD10" s="64"/>
      <c r="CE10" s="64"/>
    </row>
    <row r="11" s="63" customFormat="1" ht="15" customHeight="1">
      <c r="A11" s="51"/>
      <c r="B11" s="53"/>
      <c r="C11" s="170"/>
      <c r="D11" s="171"/>
      <c r="E11" s="172"/>
      <c r="F11" s="179" t="s">
        <v>1100</v>
      </c>
      <c r="G11" s="175"/>
      <c r="H11" s="175"/>
      <c r="I11" s="175"/>
      <c r="J11" s="175"/>
      <c r="K11" s="175"/>
      <c r="L11" s="999"/>
      <c r="M11" s="1000"/>
      <c r="N11" s="57"/>
      <c r="O11" s="57"/>
      <c r="P11" s="57"/>
      <c r="Q11" s="128"/>
      <c r="R11" s="57"/>
      <c r="S11" s="53"/>
      <c r="T11" s="53"/>
      <c r="U11" s="165"/>
      <c r="V11" s="53"/>
      <c r="W11" s="53"/>
      <c r="X11" s="53"/>
      <c r="Y11" s="64"/>
      <c r="Z11" s="64"/>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64"/>
      <c r="BW11" s="64"/>
      <c r="BX11" s="64"/>
      <c r="BY11" s="64"/>
      <c r="BZ11" s="64"/>
      <c r="CA11" s="64"/>
      <c r="CB11" s="64"/>
      <c r="CC11" s="64"/>
      <c r="CD11" s="64"/>
      <c r="CE11" s="64"/>
    </row>
    <row r="12" s="138" customFormat="1" ht="21" customHeight="1">
      <c r="A12" s="50"/>
      <c r="B12" s="53"/>
      <c r="C12" s="50"/>
      <c r="D12" s="127"/>
      <c r="E12" s="181"/>
      <c r="F12" s="181"/>
      <c r="G12" s="181"/>
      <c r="H12" s="181"/>
      <c r="I12" s="181"/>
      <c r="J12" s="181"/>
      <c r="K12" s="181"/>
      <c r="L12" s="181"/>
      <c r="M12" s="128"/>
      <c r="N12" s="128"/>
      <c r="O12" s="128"/>
      <c r="P12" s="128"/>
      <c r="Q12" s="128"/>
      <c r="R12" s="128"/>
      <c r="S12" s="129"/>
      <c r="T12" s="129"/>
      <c r="U12" s="129"/>
      <c r="V12" s="129"/>
    </row>
    <row r="13" s="138" customFormat="1" ht="14.25" customHeight="1">
      <c r="A13" s="50"/>
      <c r="B13" s="53"/>
      <c r="C13" s="50"/>
      <c r="D13" s="127"/>
      <c r="E13" s="50"/>
      <c r="F13" s="50"/>
      <c r="G13" s="50"/>
      <c r="H13" s="50"/>
      <c r="I13" s="50"/>
      <c r="J13" s="50"/>
      <c r="K13" s="50"/>
      <c r="L13" s="50"/>
      <c r="M13" s="128"/>
      <c r="N13" s="128"/>
      <c r="O13" s="128"/>
      <c r="P13" s="128"/>
      <c r="Q13" s="128"/>
      <c r="R13" s="128"/>
      <c r="S13" s="129"/>
      <c r="T13" s="129"/>
      <c r="U13" s="129"/>
      <c r="V13" s="129"/>
    </row>
    <row r="14" s="138" customFormat="1" ht="0.75" customHeight="1">
      <c r="A14" s="50"/>
      <c r="B14" s="53"/>
      <c r="C14" s="50"/>
      <c r="D14" s="127"/>
      <c r="E14" s="50"/>
      <c r="F14" s="50"/>
      <c r="G14" s="50"/>
      <c r="H14" s="50"/>
      <c r="I14" s="50"/>
      <c r="J14" s="50"/>
      <c r="K14" s="50"/>
      <c r="L14" s="50"/>
      <c r="M14" s="128"/>
      <c r="N14" s="128"/>
      <c r="O14" s="128"/>
      <c r="P14" s="128"/>
      <c r="Q14" s="128"/>
      <c r="R14" s="128"/>
      <c r="S14" s="129"/>
      <c r="T14" s="129"/>
      <c r="U14" s="129"/>
      <c r="V14" s="129"/>
    </row>
  </sheetData>
  <sheetProtection autoFilter="0" deleteColumns="0" deleteRows="0" formatCells="1" formatColumns="0" formatRows="0" insertColumns="1" insertHyperlinks="1" insertRows="0" pivotTables="1" selectLockedCells="0" selectUnlockedCells="0" sheet="0" sort="0"/>
  <mergeCells count="10">
    <mergeCell ref="E5:K5"/>
    <mergeCell ref="E7:K7"/>
    <mergeCell ref="L7:L9"/>
    <mergeCell ref="E8:E9"/>
    <mergeCell ref="F8:F9"/>
    <mergeCell ref="G8:I8"/>
    <mergeCell ref="J8:J9"/>
    <mergeCell ref="K8:K9"/>
    <mergeCell ref="A10:A11"/>
    <mergeCell ref="L10:L11"/>
  </mergeCells>
  <dataValidations count="1" disablePrompts="0">
    <dataValidation sqref="G2:G3 G10"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600043-0061-4CAE-8FDE-00770046005E}"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J2:K3 J10:K10</xm:sqref>
        </x14:dataValidation>
        <x14:dataValidation xr:uid="{002E00A4-006D-4E54-B626-007B001000AC}" type="textLength" allowBlank="1" errorStyle="stop" imeMode="noControl" operator="between" showDropDown="0" showErrorMessage="1" showInputMessage="1">
          <x14:formula1>
            <xm:f>13</xm:f>
          </x14:formula1>
          <x14:formula2>
            <xm:f>15</xm:f>
          </x14:formula2>
          <xm:sqref>H2:I3 H10:I10</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D5" zoomScale="90" workbookViewId="0">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7" width="3.8515625"/>
    <col customWidth="1" min="5" max="5" style="50" width="10.140625"/>
    <col customWidth="1" min="6" max="6" style="50" width="6.28125"/>
    <col customWidth="1" min="7" max="7" style="50" width="27.28125"/>
    <col customWidth="1" min="8" max="8" style="50" width="29.28125"/>
    <col customWidth="1" min="9" max="9" style="50" width="25.421875"/>
    <col customWidth="1" min="10" max="10" style="50" width="5.57421875"/>
    <col customWidth="1" min="11" max="11" style="50" width="6.57421875"/>
    <col customWidth="1" min="12" max="12" style="50" width="41.8515625"/>
    <col customWidth="1" min="13" max="13" style="50" width="42.421875"/>
    <col customWidth="1" min="14" max="14" style="50" width="41.57421875"/>
    <col customWidth="1" min="15" max="15" style="50" width="64.140625"/>
    <col customWidth="1" min="16" max="16" style="128" width="3.7109375"/>
    <col min="17" max="19" style="128" width="9.140625"/>
    <col customWidth="1" min="20" max="20" style="128" width="25.7109375"/>
    <col customWidth="1" min="21" max="21" style="128" width="14.421875"/>
    <col min="22" max="25" style="129" width="9.140625"/>
    <col min="26" max="259" style="50" width="9.140625"/>
  </cols>
  <sheetData>
    <row r="1" ht="14.25" hidden="1" customHeight="1"/>
    <row r="2" s="63" customFormat="1" ht="22.5" hidden="1" customHeight="1">
      <c r="A2" s="130"/>
      <c r="B2" s="53">
        <v>1</v>
      </c>
      <c r="C2" s="53"/>
      <c r="D2" s="171"/>
      <c r="E2" s="156"/>
      <c r="F2" s="156">
        <v>1</v>
      </c>
      <c r="G2" s="1008" t="str">
        <f>IF(region_name="","",region_name)</f>
        <v xml:space="preserve">Краснодарский край</v>
      </c>
      <c r="H2" s="995"/>
      <c r="I2" s="388"/>
      <c r="J2" s="355"/>
      <c r="K2" s="156">
        <v>1</v>
      </c>
      <c r="L2" s="469"/>
      <c r="M2" s="469"/>
      <c r="N2" s="469"/>
      <c r="O2" s="469"/>
      <c r="P2" s="991" t="e">
        <f>MERGEVALUE(G2)</f>
        <v>#NAME?</v>
      </c>
      <c r="Q2" s="57"/>
      <c r="R2" s="57"/>
      <c r="S2" s="128" t="str">
        <f t="array" ref="S2">IF(ISERROR(MATCH(MID(T2,1,250),MID(note_ter,1,250),0)),"n","y")</f>
        <v>n</v>
      </c>
      <c r="T2" s="57"/>
      <c r="U2" s="128"/>
      <c r="V2" s="53"/>
      <c r="W2" s="53"/>
      <c r="X2" s="165"/>
      <c r="Y2" s="53"/>
      <c r="Z2" s="53"/>
      <c r="AA2" s="53"/>
      <c r="AB2" s="64"/>
      <c r="AC2" s="64"/>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64"/>
      <c r="BZ2" s="64"/>
      <c r="CA2" s="64"/>
      <c r="CB2" s="64"/>
      <c r="CC2" s="64"/>
      <c r="CD2" s="64"/>
      <c r="CE2" s="64"/>
      <c r="CF2" s="64"/>
      <c r="CG2" s="64"/>
      <c r="CH2" s="64"/>
    </row>
    <row r="3" s="63" customFormat="1" ht="22.5" hidden="1" customHeight="1">
      <c r="A3" s="120"/>
      <c r="B3" s="53"/>
      <c r="C3" s="53"/>
      <c r="D3" s="171"/>
      <c r="E3" s="156"/>
      <c r="F3" s="156"/>
      <c r="G3" s="1008"/>
      <c r="H3" s="995"/>
      <c r="I3" s="384"/>
      <c r="J3" s="1009"/>
      <c r="K3" s="681"/>
      <c r="L3" s="681" t="s">
        <v>1101</v>
      </c>
      <c r="M3" s="1010"/>
      <c r="N3" s="1010"/>
      <c r="O3" s="1011"/>
      <c r="P3" s="991"/>
      <c r="Q3" s="57"/>
      <c r="R3" s="57"/>
      <c r="S3" s="128"/>
      <c r="T3" s="57"/>
      <c r="U3" s="128"/>
      <c r="V3" s="53"/>
      <c r="W3" s="53"/>
      <c r="X3" s="165"/>
      <c r="Y3" s="53"/>
      <c r="Z3" s="53"/>
      <c r="AA3" s="53"/>
      <c r="AB3" s="64"/>
      <c r="AC3" s="64"/>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64"/>
      <c r="BZ3" s="64"/>
      <c r="CA3" s="64"/>
      <c r="CB3" s="64"/>
      <c r="CC3" s="64"/>
      <c r="CD3" s="64"/>
      <c r="CE3" s="64"/>
      <c r="CF3" s="64"/>
      <c r="CG3" s="64"/>
      <c r="CH3" s="64"/>
    </row>
    <row r="4" s="57" customFormat="1" ht="5.25" hidden="1" customHeight="1">
      <c r="A4" s="130"/>
      <c r="D4" s="131"/>
      <c r="G4" s="132" t="s">
        <v>80</v>
      </c>
      <c r="H4" s="131" t="s">
        <v>81</v>
      </c>
      <c r="I4" s="131"/>
      <c r="J4" s="1012"/>
      <c r="K4" s="1012"/>
      <c r="L4" s="1012"/>
      <c r="M4" s="1012"/>
      <c r="N4" s="1012"/>
      <c r="O4" s="1012"/>
      <c r="P4" s="132" t="s">
        <v>80</v>
      </c>
      <c r="Q4" s="132"/>
      <c r="R4" s="132"/>
      <c r="S4" s="132"/>
      <c r="T4" s="132"/>
      <c r="U4" s="132"/>
      <c r="V4" s="132"/>
      <c r="W4" s="132"/>
      <c r="X4" s="132"/>
      <c r="Y4" s="132"/>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row>
    <row r="5" s="138" customFormat="1" ht="14.25" customHeight="1">
      <c r="A5" s="50"/>
      <c r="B5" s="53"/>
      <c r="C5" s="50"/>
      <c r="D5" s="127"/>
      <c r="E5" s="50"/>
      <c r="F5" s="50"/>
      <c r="G5" s="50"/>
      <c r="H5" s="50"/>
      <c r="I5" s="50"/>
      <c r="J5" s="50"/>
      <c r="K5" s="50"/>
      <c r="L5" s="50"/>
      <c r="M5" s="50"/>
      <c r="N5" s="50"/>
      <c r="O5" s="50"/>
      <c r="P5" s="132"/>
      <c r="Q5" s="128"/>
      <c r="R5" s="128"/>
      <c r="S5" s="128"/>
      <c r="T5" s="128"/>
      <c r="U5" s="128"/>
      <c r="V5" s="129"/>
      <c r="W5" s="129"/>
      <c r="X5" s="129"/>
      <c r="Y5" s="129"/>
    </row>
    <row r="6" s="138" customFormat="1" ht="25.5" customHeight="1">
      <c r="A6" s="50"/>
      <c r="B6" s="53"/>
      <c r="C6" s="50"/>
      <c r="D6" s="127"/>
      <c r="E6" s="140" t="s">
        <v>1102</v>
      </c>
      <c r="F6" s="140"/>
      <c r="G6" s="140"/>
      <c r="H6" s="140"/>
      <c r="I6" s="140"/>
      <c r="J6" s="140"/>
      <c r="K6" s="140"/>
      <c r="L6" s="140"/>
      <c r="M6" s="140"/>
      <c r="N6" s="140"/>
      <c r="O6" s="140"/>
      <c r="P6" s="132"/>
      <c r="Q6" s="128"/>
      <c r="R6" s="128"/>
      <c r="S6" s="128"/>
      <c r="T6" s="128"/>
      <c r="U6" s="128"/>
      <c r="V6" s="129"/>
      <c r="W6" s="129"/>
      <c r="X6" s="129"/>
      <c r="Y6" s="129"/>
    </row>
    <row r="7" s="138" customFormat="1" ht="14.25" customHeight="1">
      <c r="A7" s="50"/>
      <c r="B7" s="53"/>
      <c r="C7" s="50"/>
      <c r="D7" s="127"/>
      <c r="E7" s="50"/>
      <c r="F7" s="50"/>
      <c r="G7" s="141"/>
      <c r="H7" s="141"/>
      <c r="I7" s="141"/>
      <c r="J7" s="141"/>
      <c r="K7" s="141"/>
      <c r="L7" s="141"/>
      <c r="M7" s="141"/>
      <c r="N7" s="141"/>
      <c r="O7" s="141"/>
      <c r="P7" s="128"/>
      <c r="Q7" s="128"/>
      <c r="R7" s="128"/>
      <c r="S7" s="128"/>
      <c r="T7" s="128"/>
      <c r="U7" s="128"/>
      <c r="V7" s="129"/>
      <c r="W7" s="129"/>
      <c r="X7" s="129"/>
      <c r="Y7" s="129"/>
    </row>
    <row r="8" s="1013" customFormat="1" ht="42.75" customHeight="1">
      <c r="A8" s="51"/>
      <c r="B8" s="113"/>
      <c r="C8" s="51"/>
      <c r="D8" s="127"/>
      <c r="E8" s="1014" t="s">
        <v>289</v>
      </c>
      <c r="F8" s="1014"/>
      <c r="G8" s="1014" t="s">
        <v>293</v>
      </c>
      <c r="H8" s="1014" t="s">
        <v>1103</v>
      </c>
      <c r="I8" s="1014" t="s">
        <v>297</v>
      </c>
      <c r="J8" s="1015"/>
      <c r="K8" s="1016"/>
      <c r="L8" s="1017"/>
      <c r="M8" s="1014" t="s">
        <v>1104</v>
      </c>
      <c r="N8" s="1014" t="s">
        <v>1105</v>
      </c>
      <c r="O8" s="1014" t="s">
        <v>1106</v>
      </c>
      <c r="P8" s="213"/>
      <c r="Q8" s="213"/>
      <c r="R8" s="213"/>
      <c r="S8" s="213"/>
      <c r="T8" s="213"/>
      <c r="U8" s="213"/>
      <c r="V8" s="1018"/>
      <c r="W8" s="1018"/>
      <c r="X8" s="1018"/>
      <c r="Y8" s="1018"/>
    </row>
    <row r="9" s="138" customFormat="1" ht="47.25" customHeight="1">
      <c r="A9" s="50"/>
      <c r="B9" s="53"/>
      <c r="C9" s="50"/>
      <c r="D9" s="127"/>
      <c r="E9" s="161" t="s">
        <v>288</v>
      </c>
      <c r="F9" s="1006" t="s">
        <v>85</v>
      </c>
      <c r="G9" s="1006" t="s">
        <v>292</v>
      </c>
      <c r="H9" s="1006" t="s">
        <v>1107</v>
      </c>
      <c r="I9" s="1006"/>
      <c r="J9" s="1006" t="s">
        <v>1108</v>
      </c>
      <c r="K9" s="1006"/>
      <c r="L9" s="1006"/>
      <c r="M9" s="1006" t="s">
        <v>1109</v>
      </c>
      <c r="N9" s="1006" t="s">
        <v>1110</v>
      </c>
      <c r="O9" s="100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 xml:space="preserv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128"/>
      <c r="Q9" s="128"/>
      <c r="R9" s="128"/>
      <c r="S9" s="128"/>
      <c r="T9" s="128"/>
      <c r="U9" s="128"/>
      <c r="V9" s="129"/>
      <c r="W9" s="129"/>
      <c r="X9" s="129"/>
      <c r="Y9" s="129"/>
    </row>
    <row r="10" s="138" customFormat="1" ht="63.75" customHeight="1">
      <c r="A10" s="50"/>
      <c r="B10" s="53"/>
      <c r="C10" s="50"/>
      <c r="D10" s="127"/>
      <c r="E10" s="156"/>
      <c r="F10" s="147"/>
      <c r="G10" s="147"/>
      <c r="H10" s="147" t="s">
        <v>1111</v>
      </c>
      <c r="I10" s="147" t="s">
        <v>296</v>
      </c>
      <c r="J10" s="993"/>
      <c r="K10" s="993"/>
      <c r="L10" s="147"/>
      <c r="M10" s="147"/>
      <c r="N10" s="147"/>
      <c r="O10" s="147"/>
      <c r="P10" s="128"/>
      <c r="Q10" s="128"/>
      <c r="R10" s="128"/>
      <c r="S10" s="128"/>
      <c r="T10" s="128"/>
      <c r="U10" s="128"/>
      <c r="V10" s="129"/>
      <c r="W10" s="129"/>
      <c r="X10" s="129"/>
      <c r="Y10" s="129"/>
    </row>
    <row r="11" s="63" customFormat="1" ht="22.5" customHeight="1">
      <c r="A11" s="51">
        <v>26379339</v>
      </c>
      <c r="B11" s="53">
        <v>1</v>
      </c>
      <c r="C11" s="53"/>
      <c r="D11" s="171"/>
      <c r="E11" s="161"/>
      <c r="F11" s="161">
        <v>1</v>
      </c>
      <c r="G11" s="1019" t="str">
        <f>IF(region_name="","",region_name)</f>
        <v xml:space="preserve">Краснодарский край</v>
      </c>
      <c r="H11" s="467"/>
      <c r="I11" s="1020"/>
      <c r="J11" s="355"/>
      <c r="K11" s="156">
        <v>1</v>
      </c>
      <c r="L11" s="1021"/>
      <c r="M11" s="1022"/>
      <c r="N11" s="1022"/>
      <c r="O11" s="1023"/>
      <c r="P11" s="991" t="e">
        <f>MERGEVALUE(G11)</f>
        <v>#NAME?</v>
      </c>
      <c r="Q11" s="57"/>
      <c r="R11" s="57"/>
      <c r="S11" s="128" t="str">
        <f t="array" ref="S11">IF(ISERROR(MATCH(MID(T11,1,250),MID(note_ter,1,250),0)),"n","y")</f>
        <v>n</v>
      </c>
      <c r="T11" s="57"/>
      <c r="U11" s="128"/>
      <c r="V11" s="53"/>
      <c r="W11" s="53"/>
      <c r="X11" s="165"/>
      <c r="Y11" s="53"/>
      <c r="Z11" s="53"/>
      <c r="AA11" s="53"/>
      <c r="AB11" s="64"/>
      <c r="AC11" s="64"/>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64"/>
      <c r="BZ11" s="64"/>
      <c r="CA11" s="64"/>
      <c r="CB11" s="64"/>
      <c r="CC11" s="64"/>
      <c r="CD11" s="64"/>
      <c r="CE11" s="64"/>
      <c r="CF11" s="64"/>
      <c r="CG11" s="64"/>
      <c r="CH11" s="64"/>
    </row>
    <row r="12" s="63" customFormat="1" ht="22.5" customHeight="1">
      <c r="A12" s="51"/>
      <c r="B12" s="53"/>
      <c r="C12" s="53"/>
      <c r="D12" s="171"/>
      <c r="E12" s="161"/>
      <c r="F12" s="161"/>
      <c r="G12" s="1019"/>
      <c r="H12" s="467"/>
      <c r="I12" s="1024"/>
      <c r="J12" s="1009"/>
      <c r="K12" s="681"/>
      <c r="L12" s="681" t="s">
        <v>1101</v>
      </c>
      <c r="M12" s="1010"/>
      <c r="N12" s="1010"/>
      <c r="O12" s="1011"/>
      <c r="P12" s="991"/>
      <c r="Q12" s="57"/>
      <c r="R12" s="57"/>
      <c r="S12" s="128"/>
      <c r="T12" s="57"/>
      <c r="U12" s="128"/>
      <c r="V12" s="53"/>
      <c r="W12" s="53"/>
      <c r="X12" s="165"/>
      <c r="Y12" s="53"/>
      <c r="Z12" s="53"/>
      <c r="AA12" s="53"/>
      <c r="AB12" s="64"/>
      <c r="AC12" s="64"/>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64"/>
      <c r="BZ12" s="64"/>
      <c r="CA12" s="64"/>
      <c r="CB12" s="64"/>
      <c r="CC12" s="64"/>
      <c r="CD12" s="64"/>
      <c r="CE12" s="64"/>
      <c r="CF12" s="64"/>
      <c r="CG12" s="64"/>
      <c r="CH12" s="64"/>
    </row>
    <row r="13" s="63" customFormat="1" ht="22.5" customHeight="1">
      <c r="A13" s="51"/>
      <c r="B13" s="53"/>
      <c r="C13" s="170"/>
      <c r="D13" s="171"/>
      <c r="E13" s="997"/>
      <c r="F13" s="1009"/>
      <c r="G13" s="681" t="s">
        <v>1095</v>
      </c>
      <c r="H13" s="998"/>
      <c r="I13" s="998"/>
      <c r="J13" s="175"/>
      <c r="K13" s="175"/>
      <c r="L13" s="175"/>
      <c r="M13" s="175"/>
      <c r="N13" s="175"/>
      <c r="O13" s="1025"/>
      <c r="P13" s="1000"/>
      <c r="Q13" s="57"/>
      <c r="R13" s="57"/>
      <c r="S13" s="57"/>
      <c r="T13" s="128"/>
      <c r="U13" s="57"/>
      <c r="V13" s="53"/>
      <c r="W13" s="53"/>
      <c r="X13" s="165"/>
      <c r="Y13" s="53"/>
      <c r="Z13" s="53"/>
      <c r="AA13" s="53"/>
      <c r="AB13" s="64"/>
      <c r="AC13" s="64"/>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64"/>
      <c r="BZ13" s="64"/>
      <c r="CA13" s="64"/>
      <c r="CB13" s="64"/>
      <c r="CC13" s="64"/>
      <c r="CD13" s="64"/>
      <c r="CE13" s="64"/>
      <c r="CF13" s="64"/>
      <c r="CG13" s="64"/>
      <c r="CH13" s="64"/>
    </row>
    <row r="14" s="138" customFormat="1" ht="21" customHeight="1">
      <c r="A14" s="50"/>
      <c r="B14" s="53"/>
      <c r="C14" s="50"/>
      <c r="D14" s="127"/>
      <c r="E14" s="181"/>
      <c r="F14" s="181"/>
      <c r="G14" s="181"/>
      <c r="H14" s="181"/>
      <c r="I14" s="181"/>
      <c r="J14" s="181"/>
      <c r="K14" s="181"/>
      <c r="L14" s="181"/>
      <c r="M14" s="181"/>
      <c r="N14" s="50"/>
      <c r="O14" s="50"/>
      <c r="P14" s="128"/>
      <c r="Q14" s="128"/>
      <c r="R14" s="128"/>
      <c r="S14" s="128"/>
      <c r="T14" s="128"/>
      <c r="U14" s="128"/>
      <c r="V14" s="129"/>
      <c r="W14" s="129"/>
      <c r="X14" s="129"/>
      <c r="Y14" s="129"/>
    </row>
    <row r="15" s="138" customFormat="1" ht="14.25" customHeight="1">
      <c r="A15" s="50"/>
      <c r="B15" s="53"/>
      <c r="C15" s="50"/>
      <c r="D15" s="127"/>
      <c r="E15" s="50"/>
      <c r="F15" s="50"/>
      <c r="G15" s="50"/>
      <c r="H15" s="50"/>
      <c r="I15" s="50"/>
      <c r="J15" s="50"/>
      <c r="K15" s="50"/>
      <c r="L15" s="50"/>
      <c r="M15" s="50"/>
      <c r="N15" s="50"/>
      <c r="O15" s="50"/>
      <c r="P15" s="128"/>
      <c r="Q15" s="128"/>
      <c r="R15" s="128"/>
      <c r="S15" s="128"/>
      <c r="T15" s="128"/>
      <c r="U15" s="128"/>
      <c r="V15" s="129"/>
      <c r="W15" s="129"/>
      <c r="X15" s="129"/>
      <c r="Y15" s="129"/>
    </row>
    <row r="16" s="138" customFormat="1" ht="0.75" customHeight="1">
      <c r="A16" s="50"/>
      <c r="B16" s="53"/>
      <c r="C16" s="50"/>
      <c r="D16" s="127"/>
      <c r="E16" s="50"/>
      <c r="F16" s="50"/>
      <c r="G16" s="50"/>
      <c r="H16" s="50"/>
      <c r="I16" s="50"/>
      <c r="J16" s="50"/>
      <c r="K16" s="50"/>
      <c r="L16" s="50"/>
      <c r="M16" s="50"/>
      <c r="N16" s="50"/>
      <c r="O16" s="50"/>
      <c r="P16" s="128"/>
      <c r="Q16" s="128"/>
      <c r="R16" s="128"/>
      <c r="S16" s="128"/>
      <c r="T16" s="128"/>
      <c r="U16" s="128"/>
      <c r="V16" s="129"/>
      <c r="W16" s="129"/>
      <c r="X16" s="129"/>
      <c r="Y16" s="129"/>
    </row>
  </sheetData>
  <sheetProtection autoFilter="0" deleteColumns="0" deleteRows="0" formatCells="1" formatColumns="0" formatRows="0" insertColumns="1" insertHyperlinks="1" insertRows="0" pivotTables="1" selectLockedCells="0" selectUnlockedCells="0" sheet="0" sort="0"/>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A400A8-00A4-4193-A7E8-001D009C00F5}"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M2:O4 L2 O11 M12:O12</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topLeftCell="C6" zoomScale="90" workbookViewId="0">
      <selection activeCell="E12" activeCellId="0" sqref="E12"/>
    </sheetView>
  </sheetViews>
  <sheetFormatPr defaultColWidth="9.140625" defaultRowHeight="14.25" customHeight="1"/>
  <cols>
    <col hidden="1" min="1" max="2" style="969" width="9.140625"/>
    <col customWidth="1" min="3" max="3" style="970" width="3.7109375"/>
    <col customWidth="1" min="4" max="4" style="969" width="6.28125"/>
    <col customWidth="1" min="5" max="5" style="969" width="94.8515625"/>
    <col min="6" max="12" style="969" width="9.140625"/>
  </cols>
  <sheetData>
    <row r="1" ht="14.25" hidden="1" customHeight="1">
      <c r="L1" s="969"/>
    </row>
    <row r="2" ht="14.25" hidden="1" customHeight="1"/>
    <row r="3" ht="14.25" hidden="1" customHeight="1"/>
    <row r="4" ht="14.25" hidden="1" customHeight="1"/>
    <row r="5" ht="14.25" hidden="1" customHeight="1"/>
    <row r="6" ht="3" customHeight="1">
      <c r="C6" s="971"/>
      <c r="D6" s="333"/>
      <c r="E6" s="333"/>
    </row>
    <row r="7" ht="22.5" customHeight="1">
      <c r="C7" s="971"/>
      <c r="D7" s="140" t="s">
        <v>1112</v>
      </c>
      <c r="E7" s="140"/>
      <c r="F7" s="973"/>
    </row>
    <row r="8" ht="3" customHeight="1">
      <c r="C8" s="971"/>
      <c r="D8" s="333"/>
      <c r="E8" s="333"/>
    </row>
    <row r="9" ht="15.75" customHeight="1">
      <c r="C9" s="971"/>
      <c r="D9" s="347" t="s">
        <v>85</v>
      </c>
      <c r="E9" s="247" t="s">
        <v>275</v>
      </c>
    </row>
    <row r="10" ht="12" customHeight="1">
      <c r="C10" s="971"/>
      <c r="D10" s="424" t="s">
        <v>111</v>
      </c>
      <c r="E10" s="424" t="s">
        <v>99</v>
      </c>
    </row>
    <row r="11" ht="15" hidden="1" customHeight="1">
      <c r="C11" s="971"/>
      <c r="D11" s="925">
        <v>0</v>
      </c>
      <c r="E11" s="457"/>
    </row>
    <row r="12" ht="70" customHeight="1">
      <c r="A12" s="969"/>
      <c r="B12" s="969"/>
      <c r="C12" s="1026" t="s">
        <v>100</v>
      </c>
      <c r="D12" s="925" t="s">
        <v>111</v>
      </c>
      <c r="E12" s="383" t="s">
        <v>1113</v>
      </c>
      <c r="F12" s="969"/>
      <c r="G12" s="969"/>
      <c r="H12" s="969"/>
      <c r="I12" s="969"/>
      <c r="J12" s="969"/>
      <c r="K12" s="969"/>
      <c r="L12" s="969"/>
    </row>
    <row r="13" ht="14.25" customHeight="1">
      <c r="C13" s="971"/>
      <c r="D13" s="837"/>
      <c r="E13" s="976" t="s">
        <v>1072</v>
      </c>
    </row>
  </sheetData>
  <sheetProtection autoFilter="0" deleteColumns="0" deleteRows="0" formatCells="1" formatColumns="0" formatRows="0" insertColumns="1" insertHyperlinks="1" insertRows="0" pivotTables="1" selectLockedCells="0" selectUnlockedCells="0" sheet="0" sort="0"/>
  <mergeCells count="1">
    <mergeCell ref="D7:E7"/>
  </mergeCells>
  <printOptions headings="0" gridLines="0"/>
  <pageMargins left="0.75" right="0.75" top="1" bottom="1" header="0.5" footer="0.5"/>
  <pageSetup paperSize="9" scale="94"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4C00A2-006B-4C72-B54A-0026007D0089}" type="textLength" allowBlank="1" error="Допускается ввод не более 900 символов!" errorStyle="stop" errorTitle="Ошибка" imeMode="noControl" operator="lessThanOrEqual" showDropDown="0" showErrorMessage="1" showInputMessage="1">
          <x14:formula1>
            <xm:f>900</xm:f>
          </x14:formula1>
          <xm:sqref>E11</xm:sqref>
        </x14:dataValidation>
        <x14:dataValidation xr:uid="{00550058-00A9-42D1-A9DA-0091008A004A}" type="textLength" allowBlank="1" error="Допускается ввод не более 900 символов!" errorStyle="stop" errorTitle="Ошибка" imeMode="noControl" operator="lessThanOrEqual" showDropDown="0" showErrorMessage="1" showInputMessage="1">
          <x14:formula1>
            <xm:f>900</xm:f>
          </x14:formula1>
          <xm:sqref>E12</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A1" zoomScale="90" workbookViewId="0">
      <selection activeCell="A1" activeCellId="0" sqref="A1"/>
    </sheetView>
  </sheetViews>
  <sheetFormatPr defaultColWidth="9.140625" defaultRowHeight="11.25" customHeight="1"/>
  <cols>
    <col customWidth="1" min="1" max="1" style="63" width="1.7109375"/>
    <col customWidth="1" min="2" max="2" style="63" width="34.57421875"/>
    <col customWidth="1" min="3" max="3" style="63" width="85.57421875"/>
    <col customWidth="1" min="4" max="4" style="63" width="17.7109375"/>
    <col min="5" max="5" style="63" width="9.140625"/>
  </cols>
  <sheetData>
    <row r="1" ht="3" customHeight="1"/>
    <row r="2" ht="22.5" customHeight="1">
      <c r="B2" s="1027" t="s">
        <v>1114</v>
      </c>
      <c r="C2" s="1027"/>
      <c r="D2" s="1027"/>
      <c r="E2" s="1028"/>
    </row>
    <row r="3" ht="3" customHeight="1"/>
    <row r="4" ht="21.75" customHeight="1">
      <c r="B4" s="1029" t="s">
        <v>1115</v>
      </c>
      <c r="C4" s="1029" t="s">
        <v>1116</v>
      </c>
      <c r="D4" s="1029" t="s">
        <v>1117</v>
      </c>
    </row>
  </sheetData>
  <sheetProtection autoFilter="0" deleteColumns="0" deleteRows="0" formatCells="1" formatColumns="0" formatRows="0" insertColumns="1" insertHyperlinks="1" insertRows="0" pivotTables="1" selectLockedCells="0" selectUnlockedCells="0" sheet="0" sort="0"/>
  <autoFilter ref="B4:D4"/>
  <mergeCells count="1">
    <mergeCell ref="B2:D2"/>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85" workbookViewId="0">
      <selection activeCell="A1" activeCellId="0" sqref="A1"/>
    </sheetView>
  </sheetViews>
  <sheetFormatPr defaultRowHeight="17.100000000000001" customHeight="1"/>
  <cols>
    <col customWidth="1" min="1" max="1" style="63" width="26.57421875"/>
    <col customWidth="1" min="2" max="2" style="63" width="10.00390625"/>
    <col min="3" max="3" style="63" width="9.140625"/>
    <col customWidth="1" min="4" max="4" style="63" width="11.140625"/>
    <col customWidth="1" min="5" max="5" style="63" width="16.57421875"/>
    <col customWidth="1" min="6" max="6" style="63" width="16.28125"/>
    <col customWidth="1" min="7" max="7" style="63" width="19.140625"/>
    <col customWidth="1" min="8" max="11" style="63" width="10.00390625"/>
    <col customWidth="1" min="12" max="12" style="63" width="12.7109375"/>
    <col customWidth="1" min="13" max="13" style="63" width="61.28125"/>
    <col customWidth="1" min="14" max="14" style="63" width="10.00390625"/>
    <col customWidth="1" min="15" max="17" style="63" width="23.7109375"/>
    <col customWidth="1" min="18" max="18" style="63" width="11.7109375"/>
    <col customWidth="1" min="19" max="19" style="63" width="8.57421875"/>
    <col customWidth="1" min="20" max="20" style="63" width="11.7109375"/>
    <col customWidth="1" min="21" max="21" style="63" width="8.57421875"/>
    <col customWidth="1" min="22" max="22" style="63" width="4.7109375"/>
    <col customWidth="1" min="23" max="23" style="63" width="115.7109375"/>
    <col customWidth="1" min="24" max="24" style="63" width="115.28125"/>
    <col min="25" max="27" style="63" width="9.140625"/>
    <col customWidth="1" min="28" max="28" style="63" width="115.7109375"/>
    <col min="29" max="29" style="63" width="9.140625"/>
    <col customWidth="1" min="30" max="90" style="63" width="115.7109375"/>
    <col min="91" max="184" style="63" width="9.140625"/>
  </cols>
  <sheetData>
    <row r="2" s="1030" customFormat="1" ht="17.25" customHeight="1">
      <c r="A2" s="1030" t="s">
        <v>1118</v>
      </c>
    </row>
    <row r="4" s="969" customFormat="1" ht="15" customHeight="1">
      <c r="C4" s="375"/>
      <c r="D4" s="925"/>
      <c r="E4" s="447"/>
    </row>
    <row r="6" s="1030" customFormat="1" ht="17.25" customHeight="1">
      <c r="A6" s="1030" t="s">
        <v>1119</v>
      </c>
    </row>
    <row r="8" s="969" customFormat="1" ht="17.25" customHeight="1">
      <c r="C8" s="1026"/>
      <c r="D8" s="925"/>
      <c r="E8" s="383"/>
    </row>
    <row r="11" s="1030" customFormat="1" ht="17.25" customHeight="1">
      <c r="A11" s="1030" t="s">
        <v>1120</v>
      </c>
    </row>
    <row r="13" s="138" customFormat="1" ht="15" customHeight="1">
      <c r="A13" s="113">
        <v>1</v>
      </c>
      <c r="B13" s="53"/>
      <c r="C13" s="171" t="s">
        <v>100</v>
      </c>
      <c r="D13" s="127"/>
      <c r="E13" s="156">
        <f>A13</f>
        <v>1</v>
      </c>
      <c r="F13" s="250"/>
      <c r="G13" s="158" t="str">
        <f>"Территория "&amp;E13</f>
        <v xml:space="preserve">Территория 1</v>
      </c>
      <c r="H13" s="159"/>
      <c r="I13" s="159"/>
      <c r="J13" s="128"/>
      <c r="K13" s="128"/>
      <c r="L13" s="128"/>
      <c r="M13" s="128"/>
      <c r="N13" s="128"/>
      <c r="O13" s="128"/>
      <c r="P13" s="129"/>
      <c r="Q13" s="129"/>
      <c r="R13" s="129"/>
      <c r="S13" s="129"/>
    </row>
    <row r="14" s="63" customFormat="1" ht="15" customHeight="1">
      <c r="A14" s="113"/>
      <c r="B14" s="53">
        <v>1</v>
      </c>
      <c r="C14" s="53"/>
      <c r="D14" s="160"/>
      <c r="E14" s="161" t="str">
        <f>A13&amp;"."&amp;B14</f>
        <v>1.1</v>
      </c>
      <c r="F14" s="558">
        <f>$F$20</f>
        <v>0</v>
      </c>
      <c r="G14" s="163"/>
      <c r="H14" s="163"/>
      <c r="I14" s="164"/>
      <c r="J14" s="128"/>
      <c r="K14" s="57"/>
      <c r="L14" s="57"/>
      <c r="M14" s="128" t="str">
        <f t="array" ref="M14">IF(ISERROR(MATCH(MID(N14,1,250),MID(note_ter,1,250),0)),"n","y")</f>
        <v>n</v>
      </c>
      <c r="N14" s="57"/>
      <c r="O14" s="128" t="str">
        <f>H14&amp;"("&amp;I14&amp;")"</f>
        <v>()</v>
      </c>
      <c r="P14" s="53"/>
      <c r="Q14" s="53"/>
      <c r="R14" s="165"/>
      <c r="S14" s="53"/>
      <c r="T14" s="53"/>
      <c r="U14" s="53"/>
      <c r="V14" s="64"/>
      <c r="W14" s="64"/>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64"/>
      <c r="BT14" s="64"/>
      <c r="BU14" s="64"/>
      <c r="BV14" s="64"/>
      <c r="BW14" s="64"/>
      <c r="BX14" s="64"/>
      <c r="BY14" s="64"/>
      <c r="BZ14" s="64"/>
      <c r="CA14" s="64"/>
      <c r="CB14" s="64"/>
    </row>
    <row r="15" s="63" customFormat="1" ht="15" customHeight="1">
      <c r="A15" s="113"/>
      <c r="B15" s="53"/>
      <c r="C15" s="170"/>
      <c r="D15" s="171"/>
      <c r="E15" s="172"/>
      <c r="F15" s="173"/>
      <c r="G15" s="174" t="s">
        <v>104</v>
      </c>
      <c r="H15" s="175"/>
      <c r="I15" s="176"/>
      <c r="J15" s="57"/>
      <c r="K15" s="57"/>
      <c r="L15" s="57"/>
      <c r="M15" s="57"/>
      <c r="N15" s="128"/>
      <c r="O15" s="57"/>
      <c r="P15" s="53"/>
      <c r="Q15" s="53"/>
      <c r="R15" s="165"/>
      <c r="S15" s="53"/>
      <c r="T15" s="53"/>
      <c r="U15" s="53"/>
      <c r="V15" s="64"/>
      <c r="W15" s="64"/>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64"/>
      <c r="BT15" s="64"/>
      <c r="BU15" s="64"/>
      <c r="BV15" s="64"/>
      <c r="BW15" s="64"/>
      <c r="BX15" s="64"/>
      <c r="BY15" s="64"/>
      <c r="BZ15" s="64"/>
      <c r="CA15" s="64"/>
      <c r="CB15" s="64"/>
    </row>
    <row r="17" s="1030" customFormat="1" ht="17.25" customHeight="1">
      <c r="A17" s="1030" t="s">
        <v>1121</v>
      </c>
    </row>
    <row r="19" s="63" customFormat="1" ht="15" customHeight="1">
      <c r="A19" s="113"/>
      <c r="B19" s="53">
        <v>1</v>
      </c>
      <c r="C19" s="53"/>
      <c r="D19" s="160" t="s">
        <v>100</v>
      </c>
      <c r="E19" s="156"/>
      <c r="F19" s="167">
        <f>$F$20</f>
        <v>0</v>
      </c>
      <c r="G19" s="168"/>
      <c r="H19" s="168"/>
      <c r="I19" s="169"/>
      <c r="J19" s="128"/>
      <c r="K19" s="57"/>
      <c r="L19" s="57"/>
      <c r="M19" s="128" t="str">
        <f t="array" ref="M19">IF(ISERROR(MATCH(MID(N19,1,250),MID(note_ter,1,250),0)),"n","y")</f>
        <v>n</v>
      </c>
      <c r="N19" s="57"/>
      <c r="O19" s="128" t="str">
        <f>H19&amp;"("&amp;I19&amp;")"</f>
        <v>()</v>
      </c>
      <c r="P19" s="53"/>
      <c r="Q19" s="53"/>
      <c r="R19" s="165"/>
      <c r="S19" s="53"/>
      <c r="T19" s="53"/>
      <c r="U19" s="53"/>
      <c r="V19" s="64"/>
      <c r="W19" s="64"/>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64"/>
      <c r="BT19" s="64"/>
      <c r="BU19" s="64"/>
      <c r="BV19" s="64"/>
      <c r="BW19" s="64"/>
      <c r="BX19" s="64"/>
      <c r="BY19" s="64"/>
      <c r="BZ19" s="64"/>
      <c r="CA19" s="64"/>
      <c r="CB19" s="64"/>
    </row>
    <row r="21" s="63" customFormat="1" ht="15" customHeight="1">
      <c r="A21" s="1030" t="s">
        <v>1122</v>
      </c>
      <c r="B21" s="1030"/>
      <c r="C21" s="1030"/>
      <c r="D21" s="1030"/>
      <c r="E21" s="1030"/>
      <c r="F21" s="1030"/>
      <c r="G21" s="1030"/>
      <c r="H21" s="1030"/>
      <c r="I21" s="1030"/>
      <c r="J21" s="1030"/>
      <c r="K21" s="1030"/>
      <c r="L21" s="1030"/>
      <c r="M21" s="1030"/>
      <c r="N21" s="1030"/>
      <c r="O21" s="1030"/>
      <c r="P21" s="1030"/>
      <c r="Q21" s="1030"/>
      <c r="R21" s="1030"/>
      <c r="S21" s="1030"/>
      <c r="T21" s="1030"/>
      <c r="U21" s="1031"/>
      <c r="V21" s="1030"/>
      <c r="W21" s="1030"/>
    </row>
    <row r="22" s="63" customFormat="1" ht="15" customHeight="1">
      <c r="U22" s="1032"/>
    </row>
    <row r="23" s="185" customFormat="1" ht="15" customHeight="1">
      <c r="C23" s="1033" t="s">
        <v>100</v>
      </c>
      <c r="D23" s="219" t="s">
        <v>111</v>
      </c>
      <c r="E23" s="220"/>
      <c r="F23" s="225" t="s">
        <v>54</v>
      </c>
      <c r="G23" s="1034"/>
      <c r="H23" s="156">
        <v>1</v>
      </c>
      <c r="I23" s="1035" t="str">
        <f>IF(U23="","",INDEX(TERRITORY_MR_LIST,MATCH(U23,TERRITORY_LIST_ID,0)))</f>
        <v/>
      </c>
      <c r="J23" s="225" t="s">
        <v>54</v>
      </c>
      <c r="K23" s="1036"/>
      <c r="L23" s="219" t="s">
        <v>111</v>
      </c>
      <c r="M23" s="227"/>
      <c r="N23" s="150"/>
      <c r="O23" s="150"/>
      <c r="P23" s="150"/>
      <c r="Q23" s="150"/>
      <c r="R23" s="150"/>
      <c r="S23" s="150"/>
      <c r="T23" s="150"/>
      <c r="U23" s="1037"/>
      <c r="V23" s="150"/>
      <c r="W23" s="150"/>
      <c r="X23" s="150"/>
      <c r="Y23" s="150" t="s">
        <v>120</v>
      </c>
      <c r="Z23" s="150">
        <v>1705000</v>
      </c>
      <c r="AA23" s="150"/>
      <c r="AB23" s="150"/>
      <c r="AC23" s="150"/>
      <c r="AD23" s="150"/>
      <c r="AE23" s="150"/>
      <c r="AF23" s="150"/>
      <c r="AG23" s="150"/>
      <c r="AH23" s="150"/>
      <c r="AI23" s="150"/>
      <c r="AJ23" s="150"/>
      <c r="AK23" s="150"/>
      <c r="AL23" s="150"/>
    </row>
    <row r="24" s="185" customFormat="1" ht="15" customHeight="1">
      <c r="C24" s="148"/>
      <c r="D24" s="219"/>
      <c r="E24" s="228"/>
      <c r="F24" s="225"/>
      <c r="G24" s="1038"/>
      <c r="H24" s="156"/>
      <c r="I24" s="1039"/>
      <c r="J24" s="225"/>
      <c r="K24" s="172"/>
      <c r="L24" s="173"/>
      <c r="M24" s="230" t="s">
        <v>121</v>
      </c>
      <c r="N24" s="150"/>
      <c r="O24" s="150"/>
      <c r="P24" s="150"/>
      <c r="Q24" s="150"/>
      <c r="R24" s="150"/>
      <c r="S24" s="150"/>
      <c r="T24" s="150"/>
      <c r="U24" s="1037"/>
      <c r="V24" s="150"/>
      <c r="W24" s="150"/>
      <c r="X24" s="150"/>
      <c r="Y24" s="150"/>
      <c r="Z24" s="150"/>
      <c r="AA24" s="150"/>
      <c r="AB24" s="150"/>
      <c r="AC24" s="150"/>
      <c r="AD24" s="150"/>
      <c r="AE24" s="150"/>
      <c r="AF24" s="150"/>
      <c r="AG24" s="150"/>
      <c r="AH24" s="150"/>
      <c r="AI24" s="150"/>
      <c r="AJ24" s="150"/>
      <c r="AK24" s="150"/>
      <c r="AL24" s="150"/>
    </row>
    <row r="25" s="185" customFormat="1" ht="15" customHeight="1">
      <c r="C25" s="148"/>
      <c r="D25" s="219"/>
      <c r="E25" s="231"/>
      <c r="F25" s="225"/>
      <c r="G25" s="172"/>
      <c r="H25" s="173"/>
      <c r="I25" s="174" t="s">
        <v>122</v>
      </c>
      <c r="J25" s="173"/>
      <c r="K25" s="173"/>
      <c r="L25" s="173"/>
      <c r="M25" s="234"/>
      <c r="N25" s="150"/>
      <c r="O25" s="150"/>
      <c r="P25" s="150"/>
      <c r="Q25" s="150"/>
      <c r="R25" s="150"/>
      <c r="S25" s="150"/>
      <c r="T25" s="150"/>
      <c r="U25" s="1037"/>
      <c r="V25" s="150"/>
      <c r="W25" s="150"/>
      <c r="X25" s="150"/>
      <c r="Y25" s="150"/>
      <c r="Z25" s="150"/>
      <c r="AA25" s="150"/>
      <c r="AB25" s="150"/>
      <c r="AC25" s="150"/>
      <c r="AD25" s="150"/>
      <c r="AE25" s="150"/>
      <c r="AF25" s="150"/>
      <c r="AG25" s="150"/>
      <c r="AH25" s="150"/>
      <c r="AI25" s="150"/>
      <c r="AJ25" s="150"/>
      <c r="AK25" s="150"/>
      <c r="AL25" s="150"/>
    </row>
    <row r="26" s="63" customFormat="1" ht="15" customHeight="1">
      <c r="U26" s="1032"/>
    </row>
    <row r="27" s="63" customFormat="1" ht="15" customHeight="1">
      <c r="A27" s="1030" t="s">
        <v>1123</v>
      </c>
      <c r="B27" s="1030"/>
      <c r="C27" s="1030"/>
      <c r="D27" s="1030"/>
      <c r="E27" s="1030"/>
      <c r="F27" s="1030"/>
      <c r="G27" s="1030"/>
      <c r="H27" s="1030"/>
      <c r="I27" s="1030"/>
      <c r="J27" s="1030"/>
      <c r="K27" s="1030"/>
      <c r="L27" s="1030"/>
      <c r="M27" s="1030"/>
      <c r="N27" s="1030"/>
      <c r="O27" s="1030"/>
      <c r="P27" s="1030"/>
      <c r="Q27" s="1030"/>
      <c r="R27" s="1030"/>
      <c r="S27" s="1030"/>
      <c r="T27" s="1030"/>
      <c r="U27" s="1031"/>
      <c r="V27" s="1030"/>
      <c r="W27" s="1030"/>
    </row>
    <row r="28" s="63" customFormat="1" ht="15" customHeight="1">
      <c r="U28" s="1032"/>
    </row>
    <row r="29" s="185" customFormat="1" ht="15" customHeight="1">
      <c r="C29" s="148"/>
      <c r="D29" s="275"/>
      <c r="E29" s="275"/>
      <c r="F29" s="275"/>
      <c r="G29" s="1040" t="s">
        <v>100</v>
      </c>
      <c r="H29" s="72">
        <v>1</v>
      </c>
      <c r="I29" s="115" t="str">
        <f>IF(U29="","",INDEX(TERRITORY_MR_LIST,MATCH(U29,TERRITORY_LIST_ID,0)))</f>
        <v/>
      </c>
      <c r="J29" s="225" t="s">
        <v>54</v>
      </c>
      <c r="K29" s="1036"/>
      <c r="L29" s="219" t="s">
        <v>111</v>
      </c>
      <c r="M29" s="227"/>
      <c r="N29" s="150"/>
      <c r="O29" s="150"/>
      <c r="P29" s="150"/>
      <c r="Q29" s="150"/>
      <c r="R29" s="150"/>
      <c r="S29" s="150"/>
      <c r="T29" s="150"/>
      <c r="U29" s="1037"/>
      <c r="V29" s="150"/>
      <c r="W29" s="150"/>
      <c r="X29" s="150"/>
      <c r="Y29" s="150" t="s">
        <v>120</v>
      </c>
      <c r="Z29" s="150">
        <v>1705000</v>
      </c>
      <c r="AA29" s="150"/>
      <c r="AB29" s="150"/>
      <c r="AC29" s="150"/>
      <c r="AD29" s="150"/>
      <c r="AE29" s="150"/>
      <c r="AF29" s="150"/>
      <c r="AG29" s="150"/>
      <c r="AH29" s="150"/>
      <c r="AI29" s="150"/>
      <c r="AJ29" s="150"/>
      <c r="AK29" s="150"/>
      <c r="AL29" s="150"/>
    </row>
    <row r="30" s="185" customFormat="1" ht="15" customHeight="1">
      <c r="C30" s="148"/>
      <c r="D30" s="275"/>
      <c r="E30" s="275"/>
      <c r="F30" s="275"/>
      <c r="G30" s="1040"/>
      <c r="H30" s="72"/>
      <c r="I30" s="115"/>
      <c r="J30" s="225"/>
      <c r="K30" s="172"/>
      <c r="L30" s="173"/>
      <c r="M30" s="230" t="s">
        <v>121</v>
      </c>
      <c r="N30" s="150"/>
      <c r="O30" s="150"/>
      <c r="P30" s="150"/>
      <c r="Q30" s="150"/>
      <c r="R30" s="150"/>
      <c r="S30" s="150"/>
      <c r="T30" s="150"/>
      <c r="U30" s="1037"/>
      <c r="V30" s="150"/>
      <c r="W30" s="150"/>
      <c r="X30" s="150"/>
      <c r="Y30" s="150"/>
      <c r="Z30" s="150"/>
      <c r="AA30" s="150"/>
      <c r="AB30" s="150"/>
      <c r="AC30" s="150"/>
      <c r="AD30" s="150"/>
      <c r="AE30" s="150"/>
      <c r="AF30" s="150"/>
      <c r="AG30" s="150"/>
      <c r="AH30" s="150"/>
      <c r="AI30" s="150"/>
      <c r="AJ30" s="150"/>
      <c r="AK30" s="150"/>
      <c r="AL30" s="150"/>
    </row>
    <row r="31" s="63" customFormat="1" ht="15" customHeight="1">
      <c r="U31" s="1032"/>
    </row>
    <row r="32" s="63" customFormat="1" ht="15" customHeight="1">
      <c r="A32" s="1030" t="s">
        <v>1124</v>
      </c>
      <c r="B32" s="1030"/>
      <c r="C32" s="1030"/>
      <c r="D32" s="1030"/>
      <c r="E32" s="1030"/>
      <c r="F32" s="1030"/>
      <c r="G32" s="1030"/>
      <c r="H32" s="1030"/>
      <c r="I32" s="1030"/>
      <c r="J32" s="1030"/>
      <c r="K32" s="1030"/>
      <c r="L32" s="1030"/>
      <c r="M32" s="1030"/>
      <c r="N32" s="1030"/>
      <c r="O32" s="1030"/>
      <c r="P32" s="1030"/>
      <c r="Q32" s="1030"/>
      <c r="R32" s="1030"/>
      <c r="S32" s="1030"/>
      <c r="T32" s="1030"/>
      <c r="U32" s="1031"/>
      <c r="V32" s="1030"/>
      <c r="W32" s="1030"/>
    </row>
    <row r="33" s="63" customFormat="1" ht="15" customHeight="1">
      <c r="U33" s="1032"/>
    </row>
    <row r="34" s="185" customFormat="1" ht="15" customHeight="1">
      <c r="C34" s="148"/>
      <c r="D34" s="275"/>
      <c r="E34" s="275"/>
      <c r="F34" s="275"/>
      <c r="G34" s="275"/>
      <c r="H34" s="275"/>
      <c r="I34" s="275"/>
      <c r="J34" s="275"/>
      <c r="K34" s="1040" t="s">
        <v>100</v>
      </c>
      <c r="L34" s="895" t="s">
        <v>111</v>
      </c>
      <c r="M34" s="1041"/>
      <c r="N34" s="206"/>
      <c r="O34" s="150"/>
      <c r="P34" s="150"/>
      <c r="Q34" s="150"/>
      <c r="R34" s="150"/>
      <c r="S34" s="150"/>
      <c r="T34" s="150"/>
      <c r="U34" s="1037"/>
      <c r="V34" s="150"/>
      <c r="W34" s="150"/>
      <c r="X34" s="150"/>
      <c r="Y34" s="150" t="s">
        <v>120</v>
      </c>
      <c r="Z34" s="150">
        <v>1705000</v>
      </c>
      <c r="AA34" s="150"/>
      <c r="AB34" s="150"/>
      <c r="AC34" s="150"/>
      <c r="AD34" s="150"/>
      <c r="AE34" s="150"/>
      <c r="AF34" s="150"/>
      <c r="AG34" s="150"/>
      <c r="AH34" s="150"/>
      <c r="AI34" s="150"/>
      <c r="AJ34" s="150"/>
      <c r="AK34" s="150"/>
      <c r="AL34" s="150"/>
    </row>
    <row r="35" s="63" customFormat="1" ht="15" customHeight="1">
      <c r="U35" s="1032"/>
    </row>
    <row r="36" s="63" customFormat="1" ht="15" customHeight="1">
      <c r="U36" s="1032"/>
    </row>
    <row r="37" s="1030" customFormat="1" ht="11.25" customHeight="1">
      <c r="A37" s="1030" t="s">
        <v>1125</v>
      </c>
    </row>
    <row r="38" ht="11.25" customHeight="1"/>
    <row r="39" s="335" customFormat="1" ht="22.5" customHeight="1">
      <c r="A39" s="385"/>
      <c r="B39" s="89"/>
      <c r="C39" s="1042"/>
      <c r="D39" s="360"/>
      <c r="E39" s="376"/>
      <c r="F39" s="388"/>
      <c r="G39" s="275"/>
      <c r="H39" s="352"/>
    </row>
    <row r="40" ht="11.25" customHeight="1"/>
    <row r="41" s="1030" customFormat="1" ht="11.25" customHeight="1">
      <c r="A41" s="1030" t="s">
        <v>1126</v>
      </c>
    </row>
    <row r="42" ht="11.25" customHeight="1"/>
    <row r="43" s="335" customFormat="1" ht="22.5" customHeight="1">
      <c r="A43" s="89"/>
      <c r="B43" s="89"/>
      <c r="C43" s="89"/>
      <c r="D43" s="360"/>
      <c r="E43" s="376"/>
      <c r="F43" s="377"/>
      <c r="G43" s="275"/>
      <c r="H43" s="352"/>
    </row>
    <row r="46" s="1030" customFormat="1" ht="17.25" customHeight="1">
      <c r="A46" s="1030" t="s">
        <v>1127</v>
      </c>
    </row>
    <row r="48" s="65" customFormat="1" ht="18.75" customHeight="1">
      <c r="B48" s="142"/>
      <c r="C48" s="142"/>
      <c r="D48" s="465"/>
      <c r="E48" s="900"/>
      <c r="F48" s="1043">
        <v>13</v>
      </c>
      <c r="G48" s="1044"/>
      <c r="H48" s="163"/>
      <c r="I48" s="164"/>
      <c r="J48" s="468" t="s">
        <v>56</v>
      </c>
      <c r="K48" s="1045" t="s">
        <v>18</v>
      </c>
      <c r="M48" s="57"/>
      <c r="N48" s="57"/>
      <c r="O48" s="57"/>
      <c r="P48" s="463" t="s">
        <v>382</v>
      </c>
      <c r="Q48" s="463" t="s">
        <v>383</v>
      </c>
      <c r="R48" s="464" t="s">
        <v>384</v>
      </c>
      <c r="S48" s="57" t="s">
        <v>385</v>
      </c>
      <c r="T48" s="57"/>
      <c r="U48" s="57"/>
      <c r="V48" s="57"/>
    </row>
    <row r="50" s="1030" customFormat="1" ht="11.25" customHeight="1">
      <c r="A50" s="1030" t="s">
        <v>1128</v>
      </c>
    </row>
    <row r="52" s="50" customFormat="1" ht="14.25" customHeight="1">
      <c r="C52" s="375"/>
      <c r="D52" s="429"/>
      <c r="E52" s="369" t="s">
        <v>18</v>
      </c>
      <c r="F52" s="430"/>
      <c r="G52" s="431"/>
      <c r="H52" s="432"/>
      <c r="I52" s="432"/>
      <c r="J52" s="433"/>
      <c r="K52" s="434"/>
      <c r="L52" s="435"/>
      <c r="M52" s="434"/>
      <c r="N52" s="433"/>
      <c r="O52" s="434"/>
      <c r="P52" s="433"/>
      <c r="Q52" s="434"/>
      <c r="R52" s="433"/>
      <c r="S52" s="436"/>
      <c r="T52" s="432"/>
      <c r="U52" s="433"/>
      <c r="V52" s="433"/>
      <c r="W52" s="420"/>
      <c r="X52" s="432"/>
      <c r="Y52" s="433"/>
      <c r="Z52" s="433"/>
      <c r="AA52" s="420"/>
      <c r="AB52" s="432"/>
      <c r="AC52" s="433"/>
      <c r="AD52" s="420"/>
      <c r="AJ52" s="57"/>
      <c r="AK52" s="57"/>
      <c r="AL52" s="57"/>
      <c r="AM52" s="57"/>
      <c r="AN52" s="57"/>
      <c r="AO52" s="57"/>
      <c r="AP52" s="128" t="s">
        <v>371</v>
      </c>
      <c r="AQ52" s="128" t="s">
        <v>371</v>
      </c>
      <c r="AR52" s="57"/>
      <c r="AS52" s="57"/>
    </row>
    <row r="54" s="1030" customFormat="1" ht="11.25" customHeight="1">
      <c r="A54" s="1030" t="s">
        <v>1129</v>
      </c>
    </row>
    <row r="56" s="142" customFormat="1" ht="15" customHeight="1">
      <c r="A56" s="64" t="s">
        <v>87</v>
      </c>
      <c r="B56" s="142" t="s">
        <v>18</v>
      </c>
      <c r="C56" s="324"/>
      <c r="D56" s="219"/>
      <c r="E56" s="447"/>
      <c r="F56" s="447"/>
      <c r="G56" s="508"/>
      <c r="H56" s="1045"/>
      <c r="I56" s="511"/>
      <c r="K56" s="967"/>
      <c r="L56" s="166"/>
    </row>
    <row r="58" s="1030" customFormat="1" ht="11.25" customHeight="1">
      <c r="A58" s="1030" t="s">
        <v>1130</v>
      </c>
    </row>
    <row r="60" s="50" customFormat="1" ht="14.25" customHeight="1">
      <c r="A60" s="142"/>
      <c r="B60" s="53"/>
      <c r="C60" s="537"/>
      <c r="D60" s="344"/>
      <c r="E60" s="1046"/>
      <c r="F60" s="1045"/>
      <c r="I60" s="128"/>
      <c r="J60" s="128"/>
    </row>
    <row r="62" s="1030" customFormat="1" ht="11.25" customHeight="1">
      <c r="A62" s="1030" t="s">
        <v>1131</v>
      </c>
    </row>
    <row r="64" s="50" customFormat="1" ht="27" customHeight="1">
      <c r="A64" s="790"/>
      <c r="B64" s="790"/>
      <c r="C64" s="790"/>
      <c r="D64" s="53"/>
      <c r="E64" s="828"/>
      <c r="F64" s="1047"/>
      <c r="G64" s="1048"/>
      <c r="H64" s="1049" t="s">
        <v>56</v>
      </c>
      <c r="I64" s="1050"/>
      <c r="J64" s="1051"/>
      <c r="K64" s="1052"/>
      <c r="L64" s="1053"/>
      <c r="M64" s="1053"/>
      <c r="N64" s="1054"/>
      <c r="O64" s="1054"/>
      <c r="P64" s="1055" t="e">
        <f>DATEDIF(DATEVALUE(N64),DATEVALUE(O64),"y")&amp;"г. "&amp;DATEDIF(DATEVALUE(N64),DATEVALUE(O64),"ym")&amp;"мес. "&amp;DATEVALUE(O64)-DATE(YEAR(DATEVALUE(O64)),MONTH(DATEVALUE(O64)),1)&amp;"дн. "</f>
        <v>#VALUE!</v>
      </c>
      <c r="Q64" s="1056"/>
      <c r="R64" s="1056"/>
      <c r="S64" s="1056"/>
      <c r="T64" s="1051"/>
      <c r="U64" s="1056"/>
      <c r="V64" s="1056"/>
      <c r="W64" s="1056"/>
      <c r="X64" s="1051"/>
      <c r="Y64" s="1057" t="s">
        <v>56</v>
      </c>
      <c r="Z64" s="305"/>
      <c r="AA64" s="156">
        <v>1</v>
      </c>
      <c r="AB64" s="1058"/>
      <c r="AD64" s="57" t="s">
        <v>1132</v>
      </c>
    </row>
    <row r="65" s="50" customFormat="1" ht="10.5" customHeight="1">
      <c r="A65" s="790"/>
      <c r="B65" s="790"/>
      <c r="C65" s="790"/>
      <c r="D65" s="53"/>
      <c r="E65" s="1059"/>
      <c r="F65" s="1047"/>
      <c r="G65" s="1048"/>
      <c r="H65" s="1060"/>
      <c r="I65" s="1061"/>
      <c r="J65" s="1062"/>
      <c r="K65" s="1052"/>
      <c r="L65" s="1053"/>
      <c r="M65" s="1053"/>
      <c r="N65" s="1054"/>
      <c r="O65" s="1054"/>
      <c r="P65" s="1055"/>
      <c r="Q65" s="1056"/>
      <c r="R65" s="1056"/>
      <c r="S65" s="1056"/>
      <c r="T65" s="1062"/>
      <c r="U65" s="1056"/>
      <c r="V65" s="1056"/>
      <c r="W65" s="1056"/>
      <c r="X65" s="1062"/>
      <c r="Y65" s="1063"/>
      <c r="Z65" s="837"/>
      <c r="AA65" s="720"/>
      <c r="AB65" s="230" t="s">
        <v>1133</v>
      </c>
    </row>
    <row r="67" s="1030" customFormat="1" ht="11.25" customHeight="1">
      <c r="A67" s="1030" t="s">
        <v>1134</v>
      </c>
    </row>
    <row r="69" s="50" customFormat="1" ht="27" customHeight="1">
      <c r="A69" s="790"/>
      <c r="B69" s="790"/>
      <c r="C69" s="790"/>
      <c r="D69" s="53"/>
      <c r="E69" s="828"/>
      <c r="F69" s="1064"/>
      <c r="G69" s="1065"/>
      <c r="H69" s="1066"/>
      <c r="I69" s="1067"/>
      <c r="J69" s="1068"/>
      <c r="K69" s="1069"/>
      <c r="L69" s="1070"/>
      <c r="M69" s="1070"/>
      <c r="N69" s="1071"/>
      <c r="O69" s="1071"/>
      <c r="P69" s="1072"/>
      <c r="Q69" s="1073"/>
      <c r="R69" s="1073"/>
      <c r="S69" s="1073"/>
      <c r="T69" s="1068"/>
      <c r="U69" s="1073"/>
      <c r="V69" s="1073"/>
      <c r="W69" s="1073"/>
      <c r="X69" s="1068"/>
      <c r="Y69" s="1066"/>
      <c r="Z69" s="305"/>
      <c r="AA69" s="156">
        <v>1</v>
      </c>
      <c r="AB69" s="1058"/>
      <c r="AD69" s="57" t="s">
        <v>1132</v>
      </c>
    </row>
    <row r="71" s="1030" customFormat="1" ht="11.25" customHeight="1">
      <c r="A71" s="1030" t="s">
        <v>1135</v>
      </c>
    </row>
    <row r="72" ht="17.25" customHeight="1"/>
    <row r="73" s="50" customFormat="1" ht="21" customHeight="1">
      <c r="A73" s="529"/>
      <c r="B73" s="790"/>
      <c r="C73" s="790"/>
      <c r="D73" s="53"/>
      <c r="E73" s="89"/>
      <c r="F73" s="1074" t="e">
        <f>INDEX(IP_MAIN_LIST_NAME_IP,MATCH(A73,IP_MAIN_LIST_IP_ID,0))&amp;" ("&amp;INDEX(IP_MAIN_START_DATE,MATCH(A73,IP_MAIN_LIST_IP_ID,0))&amp;"-"&amp;INDEX(IP_MAIN_END_DATE,MATCH(A73,IP_MAIN_LIST_IP_ID,0))&amp;")"</f>
        <v>#VALUE!</v>
      </c>
      <c r="G73" s="1075"/>
      <c r="H73" s="1075"/>
      <c r="I73" s="1076"/>
      <c r="J73" s="1076"/>
      <c r="K73" s="1077"/>
      <c r="L73" s="1077"/>
      <c r="M73" s="1077"/>
      <c r="N73" s="1078"/>
      <c r="O73" s="1078"/>
      <c r="P73" s="1078"/>
      <c r="Q73" s="1078"/>
      <c r="R73" s="1078"/>
      <c r="S73" s="1078"/>
      <c r="T73" s="1078"/>
      <c r="U73" s="1078"/>
      <c r="V73" s="1078"/>
      <c r="W73" s="1078"/>
      <c r="X73" s="1078"/>
      <c r="Y73" s="1078"/>
      <c r="Z73" s="1078"/>
      <c r="AA73" s="1078"/>
      <c r="AB73" s="1078"/>
      <c r="AC73" s="1078"/>
      <c r="AD73" s="1078"/>
      <c r="AE73" s="1079"/>
      <c r="AF73" s="1077"/>
      <c r="AG73" s="1077"/>
      <c r="AH73" s="1077"/>
      <c r="AI73" s="1077"/>
      <c r="AJ73" s="1077"/>
      <c r="AK73" s="1077"/>
      <c r="AL73" s="852"/>
      <c r="AM73" s="142"/>
      <c r="AN73" s="142"/>
      <c r="AO73" s="142"/>
      <c r="AP73" s="142"/>
      <c r="AQ73" s="142"/>
      <c r="AR73" s="142"/>
      <c r="AS73" s="142"/>
      <c r="AT73" s="142"/>
      <c r="AU73" s="142"/>
      <c r="AV73" s="142"/>
      <c r="AW73" s="142"/>
      <c r="AX73" s="142"/>
      <c r="AY73" s="142"/>
      <c r="AZ73" s="142"/>
      <c r="BA73" s="142"/>
      <c r="BB73" s="142"/>
      <c r="BC73" s="142"/>
      <c r="BD73" s="142"/>
      <c r="BE73" s="142"/>
      <c r="BF73" s="142"/>
    </row>
    <row r="74" s="50" customFormat="1" ht="11.25" customHeight="1">
      <c r="A74" s="790"/>
      <c r="B74" s="790"/>
      <c r="C74" s="790"/>
      <c r="D74" s="53"/>
      <c r="E74" s="89"/>
      <c r="F74" s="169"/>
      <c r="G74" s="895"/>
      <c r="H74" s="895" t="s">
        <v>111</v>
      </c>
      <c r="I74" s="1080"/>
      <c r="J74" s="384"/>
      <c r="K74" s="447"/>
      <c r="L74" s="1081" t="s">
        <v>54</v>
      </c>
      <c r="M74" s="219"/>
      <c r="N74" s="1082"/>
      <c r="O74" s="1083" t="s">
        <v>366</v>
      </c>
      <c r="P74" s="1082"/>
      <c r="Q74" s="1082"/>
      <c r="R74" s="1082"/>
      <c r="S74" s="1082"/>
      <c r="T74" s="1082"/>
      <c r="U74" s="1082"/>
      <c r="V74" s="1082"/>
      <c r="W74" s="1082"/>
      <c r="X74" s="1082"/>
      <c r="Y74" s="1082"/>
      <c r="Z74" s="1082"/>
      <c r="AA74" s="1082"/>
      <c r="AB74" s="1082"/>
      <c r="AC74" s="1082"/>
      <c r="AD74" s="1082"/>
      <c r="AE74" s="1082"/>
      <c r="AF74" s="1084"/>
      <c r="AG74" s="1081"/>
      <c r="AH74" s="1081"/>
      <c r="AI74" s="1084"/>
      <c r="AJ74" s="1081"/>
      <c r="AK74" s="1081"/>
      <c r="AL74" s="50"/>
      <c r="AM74" s="142"/>
      <c r="AN74" s="142"/>
      <c r="AO74" s="142"/>
      <c r="AP74" s="142"/>
      <c r="AQ74" s="142"/>
      <c r="AR74" s="142"/>
      <c r="AS74" s="142"/>
      <c r="AT74" s="142"/>
      <c r="AU74" s="142"/>
      <c r="AV74" s="142"/>
      <c r="AW74" s="142"/>
      <c r="AX74" s="142"/>
      <c r="AY74" s="142"/>
      <c r="AZ74" s="142"/>
      <c r="BA74" s="142"/>
      <c r="BB74" s="142"/>
      <c r="BC74" s="142"/>
      <c r="BD74" s="142"/>
      <c r="BE74" s="142"/>
      <c r="BF74" s="142"/>
    </row>
    <row r="75" s="50" customFormat="1" ht="11.25" customHeight="1">
      <c r="A75" s="790"/>
      <c r="B75" s="790"/>
      <c r="C75" s="790"/>
      <c r="D75" s="53"/>
      <c r="E75" s="89"/>
      <c r="F75" s="169"/>
      <c r="G75" s="895"/>
      <c r="H75" s="895"/>
      <c r="I75" s="1080"/>
      <c r="J75" s="384"/>
      <c r="K75" s="447"/>
      <c r="L75" s="1081"/>
      <c r="M75" s="219"/>
      <c r="N75" s="1085"/>
      <c r="O75" s="1086">
        <v>1</v>
      </c>
      <c r="P75" s="1087" t="s">
        <v>54</v>
      </c>
      <c r="Q75" s="457" t="s">
        <v>18</v>
      </c>
      <c r="R75" s="457" t="s">
        <v>18</v>
      </c>
      <c r="S75" s="457" t="s">
        <v>18</v>
      </c>
      <c r="T75" s="457" t="s">
        <v>18</v>
      </c>
      <c r="U75" s="457" t="s">
        <v>18</v>
      </c>
      <c r="V75" s="457" t="s">
        <v>18</v>
      </c>
      <c r="W75" s="457" t="s">
        <v>18</v>
      </c>
      <c r="X75" s="457" t="s">
        <v>18</v>
      </c>
      <c r="Y75" s="457"/>
      <c r="Z75" s="1088"/>
      <c r="AA75" s="1089"/>
      <c r="AB75" s="1089"/>
      <c r="AC75" s="1090"/>
      <c r="AD75" s="1090"/>
      <c r="AE75" s="1091"/>
      <c r="AF75" s="1084"/>
      <c r="AG75" s="1081"/>
      <c r="AH75" s="1081"/>
      <c r="AI75" s="1084"/>
      <c r="AJ75" s="1081"/>
      <c r="AK75" s="1081"/>
      <c r="AL75" s="50"/>
      <c r="AM75" s="142"/>
      <c r="AN75" s="142"/>
      <c r="AO75" s="142"/>
      <c r="AP75" s="142"/>
      <c r="AQ75" s="142"/>
      <c r="AR75" s="142"/>
      <c r="AS75" s="142"/>
      <c r="AT75" s="142"/>
      <c r="AU75" s="142"/>
      <c r="AV75" s="142"/>
      <c r="AW75" s="142"/>
      <c r="AX75" s="142"/>
      <c r="AY75" s="142"/>
      <c r="AZ75" s="142"/>
      <c r="BA75" s="142"/>
      <c r="BB75" s="142"/>
      <c r="BC75" s="142"/>
      <c r="BD75" s="142"/>
      <c r="BE75" s="142"/>
      <c r="BF75" s="142"/>
    </row>
    <row r="76" s="50" customFormat="1" ht="11.25" customHeight="1">
      <c r="A76" s="790"/>
      <c r="B76" s="790"/>
      <c r="C76" s="790"/>
      <c r="D76" s="53"/>
      <c r="E76" s="89"/>
      <c r="F76" s="169"/>
      <c r="G76" s="895"/>
      <c r="H76" s="895"/>
      <c r="I76" s="1080"/>
      <c r="J76" s="384"/>
      <c r="K76" s="447"/>
      <c r="L76" s="1081"/>
      <c r="M76" s="219"/>
      <c r="N76" s="1085"/>
      <c r="O76" s="1086"/>
      <c r="P76" s="1092"/>
      <c r="Q76" s="457"/>
      <c r="R76" s="457"/>
      <c r="S76" s="1093"/>
      <c r="T76" s="457"/>
      <c r="U76" s="457"/>
      <c r="V76" s="457"/>
      <c r="W76" s="457"/>
      <c r="X76" s="457"/>
      <c r="Y76" s="457"/>
      <c r="Z76" s="1094"/>
      <c r="AA76" s="1086">
        <v>1</v>
      </c>
      <c r="AB76" s="1095"/>
      <c r="AC76" s="807"/>
      <c r="AD76" s="1095">
        <f>AB76</f>
        <v>0</v>
      </c>
      <c r="AE76" s="807"/>
      <c r="AF76" s="1084"/>
      <c r="AG76" s="1081"/>
      <c r="AH76" s="1081"/>
      <c r="AI76" s="1084"/>
      <c r="AJ76" s="1081"/>
      <c r="AK76" s="1081"/>
      <c r="AL76" s="50"/>
      <c r="AM76" s="142"/>
      <c r="AN76" s="142"/>
      <c r="AO76" s="142"/>
      <c r="AP76" s="142"/>
      <c r="AQ76" s="142"/>
      <c r="AR76" s="142"/>
      <c r="AS76" s="142"/>
      <c r="AT76" s="142"/>
      <c r="AU76" s="142"/>
      <c r="AV76" s="142"/>
      <c r="AW76" s="142"/>
      <c r="AX76" s="142"/>
      <c r="AY76" s="142"/>
      <c r="AZ76" s="142"/>
      <c r="BA76" s="142"/>
      <c r="BB76" s="142"/>
      <c r="BC76" s="142"/>
      <c r="BD76" s="142"/>
      <c r="BE76" s="142"/>
      <c r="BF76" s="142"/>
    </row>
    <row r="77" s="50" customFormat="1" ht="11.25" customHeight="1">
      <c r="A77" s="790"/>
      <c r="B77" s="790"/>
      <c r="C77" s="790"/>
      <c r="D77" s="53"/>
      <c r="E77" s="89"/>
      <c r="F77" s="169"/>
      <c r="G77" s="895"/>
      <c r="H77" s="895"/>
      <c r="I77" s="1080"/>
      <c r="J77" s="384"/>
      <c r="K77" s="447"/>
      <c r="L77" s="1081"/>
      <c r="M77" s="219"/>
      <c r="N77" s="1085"/>
      <c r="O77" s="1086"/>
      <c r="P77" s="1096"/>
      <c r="Q77" s="457"/>
      <c r="R77" s="457"/>
      <c r="S77" s="1093"/>
      <c r="T77" s="457"/>
      <c r="U77" s="457"/>
      <c r="V77" s="457"/>
      <c r="W77" s="457"/>
      <c r="X77" s="457"/>
      <c r="Y77" s="457"/>
      <c r="Z77" s="1088"/>
      <c r="AA77" s="1089"/>
      <c r="AB77" s="174" t="s">
        <v>1136</v>
      </c>
      <c r="AC77" s="1090"/>
      <c r="AD77" s="1090"/>
      <c r="AE77" s="1097"/>
      <c r="AF77" s="1084"/>
      <c r="AG77" s="1081"/>
      <c r="AH77" s="1081"/>
      <c r="AI77" s="1084"/>
      <c r="AJ77" s="1081"/>
      <c r="AK77" s="1081"/>
      <c r="AL77" s="50"/>
      <c r="AM77" s="142"/>
      <c r="AN77" s="142"/>
      <c r="AO77" s="142"/>
      <c r="AP77" s="142"/>
      <c r="AQ77" s="142"/>
      <c r="AR77" s="142"/>
      <c r="AS77" s="142"/>
      <c r="AT77" s="142"/>
      <c r="AU77" s="142"/>
      <c r="AV77" s="142"/>
      <c r="AW77" s="142"/>
      <c r="AX77" s="142"/>
      <c r="AY77" s="142"/>
      <c r="AZ77" s="142"/>
      <c r="BA77" s="142"/>
      <c r="BB77" s="142"/>
      <c r="BC77" s="142"/>
      <c r="BD77" s="142"/>
      <c r="BE77" s="142"/>
      <c r="BF77" s="142"/>
    </row>
    <row r="78" s="50" customFormat="1" ht="11.25" customHeight="1">
      <c r="A78" s="790"/>
      <c r="B78" s="790"/>
      <c r="C78" s="790"/>
      <c r="D78" s="53"/>
      <c r="E78" s="89"/>
      <c r="F78" s="169"/>
      <c r="G78" s="895"/>
      <c r="H78" s="895"/>
      <c r="I78" s="1080"/>
      <c r="J78" s="384"/>
      <c r="K78" s="447"/>
      <c r="L78" s="1081"/>
      <c r="M78" s="219"/>
      <c r="N78" s="1089"/>
      <c r="O78" s="1089"/>
      <c r="P78" s="174" t="s">
        <v>1137</v>
      </c>
      <c r="Q78" s="1089"/>
      <c r="R78" s="1089"/>
      <c r="S78" s="1089"/>
      <c r="T78" s="1089"/>
      <c r="U78" s="1089"/>
      <c r="V78" s="1089"/>
      <c r="W78" s="1089"/>
      <c r="X78" s="1089"/>
      <c r="Y78" s="1089"/>
      <c r="Z78" s="1089"/>
      <c r="AA78" s="1089"/>
      <c r="AB78" s="1089"/>
      <c r="AC78" s="1089"/>
      <c r="AD78" s="1089"/>
      <c r="AE78" s="1098"/>
      <c r="AF78" s="1084"/>
      <c r="AG78" s="1081"/>
      <c r="AH78" s="1081"/>
      <c r="AI78" s="1084"/>
      <c r="AJ78" s="1081"/>
      <c r="AK78" s="1081"/>
      <c r="AL78" s="50"/>
      <c r="AM78" s="142"/>
      <c r="AN78" s="142"/>
      <c r="AO78" s="142"/>
      <c r="AP78" s="142"/>
      <c r="AQ78" s="142"/>
      <c r="AR78" s="142"/>
      <c r="AS78" s="142"/>
      <c r="AT78" s="142"/>
      <c r="AU78" s="142"/>
      <c r="AV78" s="142"/>
      <c r="AW78" s="142"/>
      <c r="AX78" s="142"/>
      <c r="AY78" s="142"/>
      <c r="AZ78" s="142"/>
      <c r="BA78" s="142"/>
      <c r="BB78" s="142"/>
      <c r="BC78" s="142"/>
      <c r="BD78" s="142"/>
      <c r="BE78" s="142"/>
      <c r="BF78" s="142"/>
    </row>
    <row r="79" s="50" customFormat="1" ht="12" customHeight="1">
      <c r="A79" s="790"/>
      <c r="B79" s="790"/>
      <c r="C79" s="790"/>
      <c r="D79" s="53"/>
      <c r="E79" s="89"/>
      <c r="F79" s="1099"/>
      <c r="G79" s="1100"/>
      <c r="H79" s="1100"/>
      <c r="I79" s="1101" t="s">
        <v>1138</v>
      </c>
      <c r="J79" s="1101"/>
      <c r="K79" s="1101"/>
      <c r="L79" s="1102"/>
      <c r="M79" s="1102"/>
      <c r="N79" s="1103"/>
      <c r="O79" s="1103"/>
      <c r="P79" s="1103"/>
      <c r="Q79" s="1103"/>
      <c r="R79" s="1103"/>
      <c r="S79" s="1103"/>
      <c r="T79" s="1103"/>
      <c r="U79" s="1103"/>
      <c r="V79" s="1103"/>
      <c r="W79" s="1103"/>
      <c r="X79" s="1103"/>
      <c r="Y79" s="1103"/>
      <c r="Z79" s="1103"/>
      <c r="AA79" s="1103"/>
      <c r="AB79" s="1103"/>
      <c r="AC79" s="1103"/>
      <c r="AD79" s="1103"/>
      <c r="AE79" s="1103"/>
      <c r="AF79" s="1103"/>
      <c r="AG79" s="1102"/>
      <c r="AH79" s="1102"/>
      <c r="AI79" s="1103"/>
      <c r="AJ79" s="1102"/>
      <c r="AK79" s="1104"/>
      <c r="AL79" s="50"/>
      <c r="AM79" s="142"/>
      <c r="AN79" s="142"/>
      <c r="AO79" s="142"/>
      <c r="AP79" s="142"/>
      <c r="AQ79" s="142"/>
      <c r="AR79" s="142"/>
      <c r="AS79" s="142"/>
      <c r="AT79" s="142"/>
      <c r="AU79" s="142"/>
      <c r="AV79" s="142"/>
      <c r="AW79" s="142"/>
      <c r="AX79" s="142"/>
      <c r="AY79" s="142"/>
      <c r="AZ79" s="142"/>
      <c r="BA79" s="142"/>
      <c r="BB79" s="142"/>
      <c r="BC79" s="142"/>
      <c r="BD79" s="142"/>
      <c r="BE79" s="142"/>
      <c r="BF79" s="142"/>
    </row>
    <row r="81" s="1030" customFormat="1" ht="11.25" customHeight="1">
      <c r="A81" s="1030" t="s">
        <v>1139</v>
      </c>
    </row>
    <row r="83" s="50" customFormat="1" ht="11.25" customHeight="1">
      <c r="A83" s="790"/>
      <c r="B83" s="790"/>
      <c r="C83" s="790"/>
      <c r="D83" s="53"/>
      <c r="E83" s="89"/>
      <c r="F83" s="1105"/>
      <c r="G83" s="1106"/>
      <c r="H83" s="1106"/>
      <c r="I83" s="1107"/>
      <c r="J83" s="1107"/>
      <c r="K83" s="1108"/>
      <c r="L83" s="1107"/>
      <c r="M83" s="1106"/>
      <c r="N83" s="1109"/>
      <c r="O83" s="1086">
        <v>1</v>
      </c>
      <c r="P83" s="1087" t="s">
        <v>54</v>
      </c>
      <c r="Q83" s="457" t="s">
        <v>18</v>
      </c>
      <c r="R83" s="457" t="s">
        <v>18</v>
      </c>
      <c r="S83" s="457" t="s">
        <v>18</v>
      </c>
      <c r="T83" s="457" t="s">
        <v>18</v>
      </c>
      <c r="U83" s="457" t="s">
        <v>18</v>
      </c>
      <c r="V83" s="457" t="s">
        <v>18</v>
      </c>
      <c r="W83" s="457" t="s">
        <v>18</v>
      </c>
      <c r="X83" s="457" t="s">
        <v>18</v>
      </c>
      <c r="Y83" s="457"/>
      <c r="Z83" s="1088"/>
      <c r="AA83" s="1089"/>
      <c r="AB83" s="1089"/>
      <c r="AC83" s="1090"/>
      <c r="AD83" s="1090"/>
      <c r="AE83" s="1090"/>
      <c r="AF83" s="1110"/>
      <c r="AG83" s="1111"/>
      <c r="AH83" s="1111"/>
      <c r="AI83" s="1110"/>
      <c r="AJ83" s="1111"/>
      <c r="AK83" s="1111"/>
      <c r="AL83" s="50"/>
      <c r="AM83" s="142"/>
      <c r="AN83" s="142"/>
      <c r="AO83" s="142"/>
      <c r="AP83" s="142"/>
      <c r="AQ83" s="142"/>
      <c r="AR83" s="142"/>
      <c r="AS83" s="142"/>
      <c r="AT83" s="142"/>
      <c r="AU83" s="142"/>
      <c r="AV83" s="142"/>
      <c r="AW83" s="142"/>
      <c r="AX83" s="142"/>
      <c r="AY83" s="142"/>
      <c r="AZ83" s="142"/>
      <c r="BA83" s="142"/>
      <c r="BB83" s="142"/>
      <c r="BC83" s="142"/>
      <c r="BD83" s="142"/>
      <c r="BE83" s="142"/>
      <c r="BF83" s="142"/>
    </row>
    <row r="84" s="50" customFormat="1" ht="11.25" customHeight="1">
      <c r="A84" s="790"/>
      <c r="B84" s="790"/>
      <c r="C84" s="790"/>
      <c r="D84" s="53"/>
      <c r="E84" s="89"/>
      <c r="F84" s="1105"/>
      <c r="G84" s="1106"/>
      <c r="H84" s="1106"/>
      <c r="I84" s="1112"/>
      <c r="J84" s="1112"/>
      <c r="K84" s="1108"/>
      <c r="L84" s="1112"/>
      <c r="M84" s="1106"/>
      <c r="N84" s="1109"/>
      <c r="O84" s="1086"/>
      <c r="P84" s="1092"/>
      <c r="Q84" s="457"/>
      <c r="R84" s="457"/>
      <c r="S84" s="1093"/>
      <c r="T84" s="457"/>
      <c r="U84" s="457"/>
      <c r="V84" s="457"/>
      <c r="W84" s="457"/>
      <c r="X84" s="457"/>
      <c r="Y84" s="457"/>
      <c r="Z84" s="1094"/>
      <c r="AA84" s="1086">
        <v>1</v>
      </c>
      <c r="AB84" s="1095"/>
      <c r="AC84" s="807"/>
      <c r="AD84" s="1095">
        <f>AB84</f>
        <v>0</v>
      </c>
      <c r="AE84" s="824"/>
      <c r="AF84" s="1108"/>
      <c r="AG84" s="1111"/>
      <c r="AH84" s="1111"/>
      <c r="AI84" s="1108"/>
      <c r="AJ84" s="1111"/>
      <c r="AK84" s="1111"/>
      <c r="AL84" s="50"/>
      <c r="AM84" s="142"/>
      <c r="AN84" s="142"/>
      <c r="AO84" s="142"/>
      <c r="AP84" s="142"/>
      <c r="AQ84" s="142"/>
      <c r="AR84" s="142"/>
      <c r="AS84" s="142"/>
      <c r="AT84" s="142"/>
      <c r="AU84" s="142"/>
      <c r="AV84" s="142"/>
      <c r="AW84" s="142"/>
      <c r="AX84" s="142"/>
      <c r="AY84" s="142"/>
      <c r="AZ84" s="142"/>
      <c r="BA84" s="142"/>
      <c r="BB84" s="142"/>
      <c r="BC84" s="142"/>
      <c r="BD84" s="142"/>
      <c r="BE84" s="142"/>
      <c r="BF84" s="142"/>
    </row>
    <row r="85" s="50" customFormat="1" ht="11.25" customHeight="1">
      <c r="A85" s="790"/>
      <c r="B85" s="790"/>
      <c r="C85" s="790"/>
      <c r="D85" s="53"/>
      <c r="E85" s="89"/>
      <c r="F85" s="1105"/>
      <c r="G85" s="1106"/>
      <c r="H85" s="1106"/>
      <c r="I85" s="1113"/>
      <c r="J85" s="1113"/>
      <c r="K85" s="1108"/>
      <c r="L85" s="1113"/>
      <c r="M85" s="1106"/>
      <c r="N85" s="1109"/>
      <c r="O85" s="1086"/>
      <c r="P85" s="1096"/>
      <c r="Q85" s="457"/>
      <c r="R85" s="457"/>
      <c r="S85" s="1093"/>
      <c r="T85" s="457"/>
      <c r="U85" s="457"/>
      <c r="V85" s="457"/>
      <c r="W85" s="457"/>
      <c r="X85" s="457"/>
      <c r="Y85" s="457"/>
      <c r="Z85" s="1088"/>
      <c r="AA85" s="1089"/>
      <c r="AB85" s="174" t="s">
        <v>1136</v>
      </c>
      <c r="AC85" s="1090"/>
      <c r="AD85" s="1090"/>
      <c r="AE85" s="1090"/>
      <c r="AF85" s="1114"/>
      <c r="AG85" s="1111"/>
      <c r="AH85" s="1111"/>
      <c r="AI85" s="1114"/>
      <c r="AJ85" s="1111"/>
      <c r="AK85" s="1111"/>
      <c r="AL85" s="50"/>
      <c r="AM85" s="142"/>
      <c r="AN85" s="142"/>
      <c r="AO85" s="142"/>
      <c r="AP85" s="142"/>
      <c r="AQ85" s="142"/>
      <c r="AR85" s="142"/>
      <c r="AS85" s="142"/>
      <c r="AT85" s="142"/>
      <c r="AU85" s="142"/>
      <c r="AV85" s="142"/>
      <c r="AW85" s="142"/>
      <c r="AX85" s="142"/>
      <c r="AY85" s="142"/>
      <c r="AZ85" s="142"/>
      <c r="BA85" s="142"/>
      <c r="BB85" s="142"/>
      <c r="BC85" s="142"/>
      <c r="BD85" s="142"/>
      <c r="BE85" s="142"/>
      <c r="BF85" s="142"/>
    </row>
    <row r="87" s="1030" customFormat="1" ht="11.25" customHeight="1">
      <c r="A87" s="1030" t="s">
        <v>1140</v>
      </c>
    </row>
    <row r="89" s="50" customFormat="1" ht="11.25" customHeight="1">
      <c r="A89" s="790"/>
      <c r="B89" s="790"/>
      <c r="C89" s="790"/>
      <c r="D89" s="53"/>
      <c r="E89" s="89"/>
      <c r="F89" s="1106"/>
      <c r="G89" s="1106"/>
      <c r="H89" s="1106"/>
      <c r="I89" s="1106"/>
      <c r="J89" s="1106"/>
      <c r="K89" s="1106"/>
      <c r="L89" s="1106"/>
      <c r="M89" s="1106"/>
      <c r="N89" s="1106"/>
      <c r="O89" s="1106"/>
      <c r="P89" s="1106"/>
      <c r="Q89" s="1106"/>
      <c r="R89" s="1106"/>
      <c r="S89" s="1106"/>
      <c r="T89" s="1106"/>
      <c r="U89" s="1106"/>
      <c r="V89" s="1106"/>
      <c r="W89" s="1106"/>
      <c r="X89" s="1106"/>
      <c r="Y89" s="1106"/>
      <c r="Z89" s="1115"/>
      <c r="AA89" s="1116">
        <v>1</v>
      </c>
      <c r="AB89" s="1095"/>
      <c r="AC89" s="807"/>
      <c r="AD89" s="1095">
        <f>AB89</f>
        <v>0</v>
      </c>
      <c r="AE89" s="807"/>
      <c r="AF89" s="1108"/>
      <c r="AG89" s="1111"/>
      <c r="AH89" s="1111"/>
      <c r="AI89" s="1108"/>
      <c r="AJ89" s="1111"/>
      <c r="AK89" s="1111"/>
      <c r="AL89" s="50"/>
      <c r="AM89" s="142"/>
      <c r="AN89" s="142"/>
      <c r="AO89" s="142"/>
      <c r="AP89" s="142"/>
      <c r="AQ89" s="142"/>
      <c r="AR89" s="142"/>
      <c r="AS89" s="142"/>
      <c r="AT89" s="142"/>
      <c r="AU89" s="142"/>
      <c r="AV89" s="142"/>
      <c r="AW89" s="142"/>
      <c r="AX89" s="142"/>
      <c r="AY89" s="142"/>
      <c r="AZ89" s="142"/>
      <c r="BA89" s="142"/>
      <c r="BB89" s="142"/>
      <c r="BC89" s="142"/>
      <c r="BD89" s="142"/>
      <c r="BE89" s="142"/>
      <c r="BF89" s="142"/>
    </row>
    <row r="91" s="1030" customFormat="1" ht="11.25" customHeight="1">
      <c r="A91" s="1030" t="s">
        <v>1141</v>
      </c>
    </row>
    <row r="93" s="50" customFormat="1" ht="11.25" customHeight="1">
      <c r="A93" s="790"/>
      <c r="B93" s="790"/>
      <c r="C93" s="790"/>
      <c r="D93" s="53"/>
      <c r="E93" s="89"/>
      <c r="F93" s="1105"/>
      <c r="G93" s="1106"/>
      <c r="H93" s="895" t="s">
        <v>111</v>
      </c>
      <c r="I93" s="1080"/>
      <c r="J93" s="384"/>
      <c r="K93" s="447"/>
      <c r="L93" s="1081" t="s">
        <v>54</v>
      </c>
      <c r="M93" s="219"/>
      <c r="N93" s="1082"/>
      <c r="O93" s="1083" t="s">
        <v>366</v>
      </c>
      <c r="P93" s="1082"/>
      <c r="Q93" s="1082"/>
      <c r="R93" s="1082"/>
      <c r="S93" s="1082"/>
      <c r="T93" s="1082"/>
      <c r="U93" s="1082"/>
      <c r="V93" s="1082"/>
      <c r="W93" s="1082"/>
      <c r="X93" s="1082"/>
      <c r="Y93" s="1082"/>
      <c r="Z93" s="1082"/>
      <c r="AA93" s="1082"/>
      <c r="AB93" s="1082"/>
      <c r="AC93" s="1082"/>
      <c r="AD93" s="1082"/>
      <c r="AE93" s="1082"/>
      <c r="AF93" s="1084"/>
      <c r="AG93" s="1081"/>
      <c r="AH93" s="1081"/>
      <c r="AI93" s="1084"/>
      <c r="AJ93" s="1081"/>
      <c r="AK93" s="1081"/>
      <c r="AL93" s="50"/>
      <c r="AM93" s="142"/>
      <c r="AN93" s="142"/>
      <c r="AO93" s="142"/>
      <c r="AP93" s="142"/>
      <c r="AQ93" s="142"/>
      <c r="AR93" s="142"/>
      <c r="AS93" s="142"/>
      <c r="AT93" s="142"/>
      <c r="AU93" s="142"/>
      <c r="AV93" s="142"/>
      <c r="AW93" s="142"/>
      <c r="AX93" s="142"/>
      <c r="AY93" s="142"/>
      <c r="AZ93" s="142"/>
      <c r="BA93" s="142"/>
      <c r="BB93" s="142"/>
      <c r="BC93" s="142"/>
      <c r="BD93" s="142"/>
      <c r="BE93" s="142"/>
      <c r="BF93" s="142"/>
    </row>
    <row r="94" s="50" customFormat="1" ht="11.25" customHeight="1">
      <c r="A94" s="790"/>
      <c r="B94" s="790"/>
      <c r="C94" s="790"/>
      <c r="D94" s="53"/>
      <c r="E94" s="89"/>
      <c r="F94" s="1105"/>
      <c r="G94" s="1106"/>
      <c r="H94" s="895"/>
      <c r="I94" s="1080"/>
      <c r="J94" s="384"/>
      <c r="K94" s="447"/>
      <c r="L94" s="1081"/>
      <c r="M94" s="219"/>
      <c r="N94" s="1085"/>
      <c r="O94" s="1086">
        <v>1</v>
      </c>
      <c r="P94" s="1087" t="s">
        <v>54</v>
      </c>
      <c r="Q94" s="457" t="s">
        <v>18</v>
      </c>
      <c r="R94" s="457" t="s">
        <v>18</v>
      </c>
      <c r="S94" s="457" t="s">
        <v>18</v>
      </c>
      <c r="T94" s="457" t="s">
        <v>18</v>
      </c>
      <c r="U94" s="457" t="s">
        <v>18</v>
      </c>
      <c r="V94" s="457" t="s">
        <v>18</v>
      </c>
      <c r="W94" s="457" t="s">
        <v>18</v>
      </c>
      <c r="X94" s="457" t="s">
        <v>18</v>
      </c>
      <c r="Y94" s="457"/>
      <c r="Z94" s="1088"/>
      <c r="AA94" s="1089"/>
      <c r="AB94" s="1089"/>
      <c r="AC94" s="1090"/>
      <c r="AD94" s="1090"/>
      <c r="AE94" s="1091"/>
      <c r="AF94" s="1084"/>
      <c r="AG94" s="1081"/>
      <c r="AH94" s="1081"/>
      <c r="AI94" s="1084"/>
      <c r="AJ94" s="1081"/>
      <c r="AK94" s="1081"/>
      <c r="AL94" s="50"/>
      <c r="AM94" s="142"/>
      <c r="AN94" s="142"/>
      <c r="AO94" s="142"/>
      <c r="AP94" s="142"/>
      <c r="AQ94" s="142"/>
      <c r="AR94" s="142"/>
      <c r="AS94" s="142"/>
      <c r="AT94" s="142"/>
      <c r="AU94" s="142"/>
      <c r="AV94" s="142"/>
      <c r="AW94" s="142"/>
      <c r="AX94" s="142"/>
      <c r="AY94" s="142"/>
      <c r="AZ94" s="142"/>
      <c r="BA94" s="142"/>
      <c r="BB94" s="142"/>
      <c r="BC94" s="142"/>
      <c r="BD94" s="142"/>
      <c r="BE94" s="142"/>
      <c r="BF94" s="142"/>
    </row>
    <row r="95" s="50" customFormat="1" ht="11.25" customHeight="1">
      <c r="A95" s="790"/>
      <c r="B95" s="790"/>
      <c r="C95" s="790"/>
      <c r="D95" s="53"/>
      <c r="E95" s="89"/>
      <c r="F95" s="1105"/>
      <c r="G95" s="1106"/>
      <c r="H95" s="895"/>
      <c r="I95" s="1080"/>
      <c r="J95" s="384"/>
      <c r="K95" s="447"/>
      <c r="L95" s="1081"/>
      <c r="M95" s="219"/>
      <c r="N95" s="1085"/>
      <c r="O95" s="1086"/>
      <c r="P95" s="1092"/>
      <c r="Q95" s="457"/>
      <c r="R95" s="457"/>
      <c r="S95" s="1093"/>
      <c r="T95" s="457"/>
      <c r="U95" s="457"/>
      <c r="V95" s="457"/>
      <c r="W95" s="457"/>
      <c r="X95" s="457"/>
      <c r="Y95" s="457"/>
      <c r="Z95" s="1094"/>
      <c r="AA95" s="1086">
        <v>1</v>
      </c>
      <c r="AB95" s="1095"/>
      <c r="AC95" s="807"/>
      <c r="AD95" s="1095">
        <f>AB95</f>
        <v>0</v>
      </c>
      <c r="AE95" s="807"/>
      <c r="AF95" s="1084"/>
      <c r="AG95" s="1081"/>
      <c r="AH95" s="1081"/>
      <c r="AI95" s="1084"/>
      <c r="AJ95" s="1081"/>
      <c r="AK95" s="1081"/>
      <c r="AL95" s="50"/>
      <c r="AM95" s="142"/>
      <c r="AN95" s="142"/>
      <c r="AO95" s="142"/>
      <c r="AP95" s="142"/>
      <c r="AQ95" s="142"/>
      <c r="AR95" s="142"/>
      <c r="AS95" s="142"/>
      <c r="AT95" s="142"/>
      <c r="AU95" s="142"/>
      <c r="AV95" s="142"/>
      <c r="AW95" s="142"/>
      <c r="AX95" s="142"/>
      <c r="AY95" s="142"/>
      <c r="AZ95" s="142"/>
      <c r="BA95" s="142"/>
      <c r="BB95" s="142"/>
      <c r="BC95" s="142"/>
      <c r="BD95" s="142"/>
      <c r="BE95" s="142"/>
      <c r="BF95" s="142"/>
    </row>
    <row r="96" s="50" customFormat="1" ht="11.25" customHeight="1">
      <c r="A96" s="790"/>
      <c r="B96" s="790"/>
      <c r="C96" s="790"/>
      <c r="D96" s="53"/>
      <c r="E96" s="89"/>
      <c r="F96" s="1105"/>
      <c r="G96" s="1106"/>
      <c r="H96" s="895"/>
      <c r="I96" s="1080"/>
      <c r="J96" s="384"/>
      <c r="K96" s="447"/>
      <c r="L96" s="1081"/>
      <c r="M96" s="219"/>
      <c r="N96" s="1085"/>
      <c r="O96" s="1086"/>
      <c r="P96" s="1096"/>
      <c r="Q96" s="457"/>
      <c r="R96" s="457"/>
      <c r="S96" s="1093"/>
      <c r="T96" s="457"/>
      <c r="U96" s="457"/>
      <c r="V96" s="457"/>
      <c r="W96" s="457"/>
      <c r="X96" s="457"/>
      <c r="Y96" s="457"/>
      <c r="Z96" s="1088"/>
      <c r="AA96" s="1089"/>
      <c r="AB96" s="174" t="s">
        <v>1136</v>
      </c>
      <c r="AC96" s="1090"/>
      <c r="AD96" s="1090"/>
      <c r="AE96" s="1097"/>
      <c r="AF96" s="1084"/>
      <c r="AG96" s="1081"/>
      <c r="AH96" s="1081"/>
      <c r="AI96" s="1084"/>
      <c r="AJ96" s="1081"/>
      <c r="AK96" s="1081"/>
      <c r="AL96" s="50"/>
      <c r="AM96" s="142"/>
      <c r="AN96" s="142"/>
      <c r="AO96" s="142"/>
      <c r="AP96" s="142"/>
      <c r="AQ96" s="142"/>
      <c r="AR96" s="142"/>
      <c r="AS96" s="142"/>
      <c r="AT96" s="142"/>
      <c r="AU96" s="142"/>
      <c r="AV96" s="142"/>
      <c r="AW96" s="142"/>
      <c r="AX96" s="142"/>
      <c r="AY96" s="142"/>
      <c r="AZ96" s="142"/>
      <c r="BA96" s="142"/>
      <c r="BB96" s="142"/>
      <c r="BC96" s="142"/>
      <c r="BD96" s="142"/>
      <c r="BE96" s="142"/>
      <c r="BF96" s="142"/>
    </row>
    <row r="97" s="50" customFormat="1" ht="11.25" customHeight="1">
      <c r="A97" s="790"/>
      <c r="B97" s="790"/>
      <c r="C97" s="790"/>
      <c r="D97" s="53"/>
      <c r="E97" s="89"/>
      <c r="F97" s="1105"/>
      <c r="G97" s="1106"/>
      <c r="H97" s="895"/>
      <c r="I97" s="1080"/>
      <c r="J97" s="384"/>
      <c r="K97" s="447"/>
      <c r="L97" s="1081"/>
      <c r="M97" s="219"/>
      <c r="N97" s="1089"/>
      <c r="O97" s="1089"/>
      <c r="P97" s="174" t="s">
        <v>1137</v>
      </c>
      <c r="Q97" s="1089"/>
      <c r="R97" s="1089"/>
      <c r="S97" s="1089"/>
      <c r="T97" s="1089"/>
      <c r="U97" s="1089"/>
      <c r="V97" s="1089"/>
      <c r="W97" s="1089"/>
      <c r="X97" s="1089"/>
      <c r="Y97" s="1089"/>
      <c r="Z97" s="1089"/>
      <c r="AA97" s="1089"/>
      <c r="AB97" s="1089"/>
      <c r="AC97" s="1089"/>
      <c r="AD97" s="1089"/>
      <c r="AE97" s="1098"/>
      <c r="AF97" s="1084"/>
      <c r="AG97" s="1081"/>
      <c r="AH97" s="1081"/>
      <c r="AI97" s="1084"/>
      <c r="AJ97" s="1081"/>
      <c r="AK97" s="1081"/>
      <c r="AL97" s="50"/>
      <c r="AM97" s="142"/>
      <c r="AN97" s="142"/>
      <c r="AO97" s="142"/>
      <c r="AP97" s="142"/>
      <c r="AQ97" s="142"/>
      <c r="AR97" s="142"/>
      <c r="AS97" s="142"/>
      <c r="AT97" s="142"/>
      <c r="AU97" s="142"/>
      <c r="AV97" s="142"/>
      <c r="AW97" s="142"/>
      <c r="AX97" s="142"/>
      <c r="AY97" s="142"/>
      <c r="AZ97" s="142"/>
      <c r="BA97" s="142"/>
      <c r="BB97" s="142"/>
      <c r="BC97" s="142"/>
      <c r="BD97" s="142"/>
      <c r="BE97" s="142"/>
      <c r="BF97" s="142"/>
    </row>
    <row r="99" s="1030" customFormat="1" ht="11.25" customHeight="1">
      <c r="A99" s="1030" t="s">
        <v>1142</v>
      </c>
    </row>
    <row r="100" ht="17.25" customHeight="1"/>
    <row r="101" s="872" customFormat="1" ht="21" customHeight="1">
      <c r="A101" s="529"/>
      <c r="B101" s="873"/>
      <c r="D101" s="872"/>
      <c r="E101" s="905" t="s">
        <v>18</v>
      </c>
      <c r="F101" s="1117" t="e">
        <f>INDEX(IP_MAIN_LIST_NAME_IP,MATCH(A101,IP_MAIN_LIST_IP_ID,0))&amp;" ("&amp;INDEX(IP_MAIN_START_DATE,MATCH(A101,IP_MAIN_LIST_IP_ID,0))&amp;"-"&amp;INDEX(IP_MAIN_END_DATE,MATCH(A101,IP_MAIN_LIST_IP_ID,0))&amp;")"</f>
        <v>#VALUE!</v>
      </c>
      <c r="G101" s="1118"/>
      <c r="H101" s="1119"/>
      <c r="I101" s="1119"/>
      <c r="J101" s="1119"/>
      <c r="K101" s="1119"/>
      <c r="L101" s="1119"/>
      <c r="M101" s="1119"/>
      <c r="N101" s="1119"/>
      <c r="O101" s="1118"/>
      <c r="P101" s="1118"/>
      <c r="Q101" s="1118"/>
      <c r="R101" s="1118"/>
      <c r="S101" s="1118"/>
      <c r="T101" s="1118"/>
      <c r="U101" s="1120"/>
      <c r="V101" s="1120"/>
      <c r="W101" s="1120"/>
      <c r="X101" s="1120"/>
      <c r="Y101" s="1120"/>
      <c r="Z101" s="1120"/>
      <c r="AA101" s="1120"/>
      <c r="AB101" s="1118"/>
      <c r="AC101" s="1119"/>
      <c r="AD101" s="1119"/>
      <c r="AE101" s="1119"/>
      <c r="AF101" s="1119"/>
      <c r="AG101" s="1119"/>
      <c r="AH101" s="1119"/>
      <c r="AI101" s="1119"/>
      <c r="AJ101" s="1119"/>
      <c r="AK101" s="1119"/>
      <c r="AL101" s="1119"/>
      <c r="AM101" s="1119"/>
      <c r="AN101" s="1119"/>
      <c r="AO101" s="1119"/>
      <c r="AP101" s="1119"/>
      <c r="AQ101" s="1119"/>
      <c r="AR101" s="1119"/>
      <c r="AS101" s="1119"/>
      <c r="AT101" s="1119"/>
      <c r="AU101" s="1119"/>
      <c r="AV101" s="1119"/>
      <c r="AW101" s="1119"/>
      <c r="AX101" s="1119"/>
      <c r="AY101" s="1119"/>
      <c r="AZ101" s="1119"/>
      <c r="BA101" s="1119"/>
      <c r="BB101" s="1119"/>
      <c r="BC101" s="1119"/>
      <c r="BD101" s="1119"/>
      <c r="BE101" s="1119"/>
      <c r="BF101" s="1119"/>
      <c r="BG101" s="1119"/>
      <c r="BH101" s="1119"/>
      <c r="BI101" s="1119"/>
      <c r="BJ101" s="1119"/>
      <c r="BK101" s="1119"/>
      <c r="BL101" s="1119"/>
      <c r="BM101" s="1119"/>
      <c r="BN101" s="1119"/>
      <c r="BO101" s="1119"/>
      <c r="BP101" s="1119"/>
      <c r="BQ101" s="1119"/>
      <c r="BR101" s="1119"/>
      <c r="BS101" s="1119"/>
      <c r="BT101" s="1119"/>
      <c r="BU101" s="1119"/>
      <c r="BV101" s="1119"/>
      <c r="BW101" s="1119"/>
      <c r="BX101" s="1119"/>
      <c r="BY101" s="1119"/>
      <c r="BZ101" s="1119"/>
      <c r="CA101" s="1119"/>
      <c r="CB101" s="1119"/>
      <c r="CC101" s="1119"/>
      <c r="CD101" s="1119"/>
      <c r="CE101" s="1119"/>
      <c r="CF101" s="1119"/>
      <c r="CG101" s="1119"/>
      <c r="CH101" s="1119"/>
      <c r="CI101" s="1119"/>
      <c r="CJ101" s="1119"/>
      <c r="CK101" s="1119"/>
      <c r="CL101" s="1121"/>
      <c r="CM101" s="1121"/>
      <c r="CN101" s="1121"/>
      <c r="CO101" s="1121"/>
      <c r="CP101" s="1121"/>
      <c r="CQ101" s="1121"/>
      <c r="CR101" s="1121"/>
      <c r="CS101" s="1121"/>
      <c r="CT101" s="1121"/>
      <c r="CU101" s="1121"/>
      <c r="CV101" s="1121"/>
      <c r="CW101" s="1121"/>
      <c r="CX101" s="1121"/>
      <c r="CY101" s="1121"/>
      <c r="CZ101" s="1121"/>
      <c r="DA101" s="1121"/>
      <c r="DB101" s="1121"/>
      <c r="DC101" s="1121"/>
      <c r="DD101" s="1121"/>
      <c r="DE101" s="1121"/>
      <c r="DF101" s="1121"/>
      <c r="DG101" s="1121"/>
      <c r="DH101" s="1121"/>
      <c r="DI101" s="1121"/>
      <c r="DJ101" s="1121"/>
      <c r="DK101" s="1121"/>
      <c r="DL101" s="1121"/>
      <c r="DM101" s="1121"/>
      <c r="DN101" s="1121"/>
      <c r="DO101" s="1121"/>
      <c r="DP101" s="1121"/>
      <c r="DQ101" s="1121"/>
      <c r="DR101" s="1121"/>
      <c r="DS101" s="1121"/>
      <c r="DT101" s="1121"/>
      <c r="DU101" s="1121"/>
      <c r="DV101" s="1121"/>
      <c r="DW101" s="1121"/>
      <c r="DX101" s="1121"/>
      <c r="DY101" s="1121"/>
      <c r="DZ101" s="1121"/>
      <c r="EA101" s="1121"/>
      <c r="EB101" s="1121"/>
      <c r="EC101" s="1121"/>
      <c r="ED101" s="1121"/>
      <c r="EE101" s="1121"/>
      <c r="EF101" s="1121"/>
      <c r="EG101" s="1121"/>
      <c r="EH101" s="1121"/>
      <c r="EI101" s="1121"/>
      <c r="EJ101" s="1121"/>
      <c r="EK101" s="1121"/>
      <c r="EL101" s="1121"/>
      <c r="EM101" s="1121"/>
      <c r="EN101" s="1121"/>
      <c r="EO101" s="1121"/>
      <c r="EP101" s="1121"/>
      <c r="EQ101" s="1121"/>
      <c r="ER101" s="1121"/>
      <c r="ES101" s="1121"/>
      <c r="ET101" s="1121"/>
      <c r="EU101" s="1121"/>
      <c r="EV101" s="1121"/>
      <c r="EW101" s="1121"/>
      <c r="EX101" s="1121"/>
      <c r="EY101" s="1121"/>
      <c r="EZ101" s="1121"/>
      <c r="FA101" s="1121"/>
      <c r="FB101" s="1121"/>
      <c r="FC101" s="1121"/>
      <c r="FD101" s="1121"/>
      <c r="FE101" s="1121"/>
      <c r="FF101" s="1121"/>
      <c r="FG101" s="1121"/>
      <c r="FH101" s="1121"/>
      <c r="FI101" s="1121"/>
      <c r="FJ101" s="1121"/>
      <c r="FK101" s="1121"/>
      <c r="FL101" s="1121"/>
      <c r="FM101" s="1121"/>
      <c r="FN101" s="1121"/>
      <c r="FO101" s="1121"/>
      <c r="FP101" s="1121"/>
      <c r="FQ101" s="1121"/>
      <c r="FR101" s="1121"/>
      <c r="FS101" s="1121"/>
      <c r="FT101" s="1121"/>
      <c r="FU101" s="1121"/>
      <c r="FV101" s="1122"/>
      <c r="FW101" s="914"/>
      <c r="FX101" s="910"/>
    </row>
    <row r="102" s="872" customFormat="1" ht="24.75" customHeight="1">
      <c r="B102" s="873"/>
      <c r="C102" s="872"/>
      <c r="D102" s="872"/>
      <c r="F102" s="925">
        <v>1</v>
      </c>
      <c r="G102" s="115"/>
      <c r="H102" s="85"/>
      <c r="I102" s="1123"/>
      <c r="J102" s="1124"/>
      <c r="K102" s="1124"/>
      <c r="L102" s="1124"/>
      <c r="M102" s="1124"/>
      <c r="N102" s="1124"/>
      <c r="O102" s="1125"/>
      <c r="P102" s="1125"/>
      <c r="Q102" s="1125"/>
      <c r="R102" s="1125"/>
      <c r="S102" s="1125"/>
      <c r="T102" s="1125"/>
      <c r="U102" s="1125"/>
      <c r="V102" s="1125"/>
      <c r="W102" s="1125"/>
      <c r="X102" s="1125"/>
      <c r="Y102" s="1125"/>
      <c r="Z102" s="1125"/>
      <c r="AA102" s="1125"/>
      <c r="AB102" s="1125"/>
      <c r="AC102" s="1124"/>
      <c r="AD102" s="1124"/>
      <c r="AE102" s="1124"/>
      <c r="AF102" s="1124"/>
      <c r="AG102" s="1124"/>
      <c r="AH102" s="1124"/>
      <c r="AI102" s="1124"/>
      <c r="AJ102" s="1124"/>
      <c r="AK102" s="1124"/>
      <c r="AL102" s="1124"/>
      <c r="AM102" s="1124"/>
      <c r="AN102" s="1124"/>
      <c r="AO102" s="1124"/>
      <c r="AP102" s="1124"/>
      <c r="AQ102" s="1124"/>
      <c r="AR102" s="1124"/>
      <c r="AS102" s="1124"/>
      <c r="AT102" s="1124"/>
      <c r="AU102" s="1124"/>
      <c r="AV102" s="1124"/>
      <c r="AW102" s="1124"/>
      <c r="AX102" s="1124"/>
      <c r="AY102" s="1124"/>
      <c r="AZ102" s="1124"/>
      <c r="BA102" s="1124"/>
      <c r="BB102" s="1124"/>
      <c r="BC102" s="1124"/>
      <c r="BD102" s="1124"/>
      <c r="BE102" s="1124"/>
      <c r="BF102" s="1124"/>
      <c r="BG102" s="1124"/>
      <c r="BH102" s="1124"/>
      <c r="BI102" s="1124"/>
      <c r="BJ102" s="1124"/>
      <c r="BK102" s="1124"/>
      <c r="BL102" s="1124"/>
      <c r="BM102" s="1124"/>
      <c r="BN102" s="1124"/>
      <c r="BO102" s="1124"/>
      <c r="BP102" s="1124"/>
      <c r="BQ102" s="1124"/>
      <c r="BR102" s="1124"/>
      <c r="BS102" s="1124"/>
      <c r="BT102" s="1126"/>
      <c r="BU102" s="1126"/>
      <c r="BV102" s="1126"/>
      <c r="BW102" s="1126"/>
      <c r="BX102" s="1126"/>
      <c r="BY102" s="1126"/>
      <c r="BZ102" s="1126"/>
      <c r="CA102" s="1126"/>
      <c r="CB102" s="1126"/>
      <c r="CC102" s="1126"/>
      <c r="CD102" s="1126"/>
      <c r="CE102" s="1126"/>
      <c r="CF102" s="1126"/>
      <c r="CG102" s="1126"/>
      <c r="CH102" s="1126"/>
      <c r="CI102" s="1126"/>
      <c r="CJ102" s="1126"/>
      <c r="CK102" s="1126"/>
      <c r="CL102" s="1124"/>
      <c r="CM102" s="1124"/>
      <c r="CN102" s="1124"/>
      <c r="CO102" s="1124"/>
      <c r="CP102" s="1124"/>
      <c r="CQ102" s="1124"/>
      <c r="CR102" s="1124"/>
      <c r="CS102" s="1124"/>
      <c r="CT102" s="1124"/>
      <c r="CU102" s="1124"/>
      <c r="CV102" s="1124"/>
      <c r="CW102" s="1124"/>
      <c r="CX102" s="1124"/>
      <c r="CY102" s="1125"/>
      <c r="CZ102" s="1125"/>
      <c r="DA102" s="1125"/>
      <c r="DB102" s="1125"/>
      <c r="DC102" s="1125"/>
      <c r="DD102" s="1125"/>
      <c r="DE102" s="1125"/>
      <c r="DF102" s="1125"/>
      <c r="DG102" s="1125"/>
      <c r="DH102" s="1125"/>
      <c r="DI102" s="1125"/>
      <c r="DJ102" s="1125"/>
      <c r="DK102" s="1124"/>
      <c r="DL102" s="1124"/>
      <c r="DM102" s="1124"/>
      <c r="DN102" s="1124"/>
      <c r="DO102" s="1124"/>
      <c r="DP102" s="1124"/>
      <c r="DQ102" s="1124"/>
      <c r="DR102" s="1124"/>
      <c r="DS102" s="1124"/>
      <c r="DT102" s="1124"/>
      <c r="DU102" s="1124"/>
      <c r="DV102" s="1124"/>
      <c r="DW102" s="1124"/>
      <c r="DX102" s="1124"/>
      <c r="DY102" s="1124"/>
      <c r="DZ102" s="1124"/>
      <c r="EA102" s="1124"/>
      <c r="EB102" s="1124"/>
      <c r="EC102" s="1124"/>
      <c r="ED102" s="1124"/>
      <c r="EE102" s="1124"/>
      <c r="EF102" s="1124"/>
      <c r="EG102" s="1124"/>
      <c r="EH102" s="1124"/>
      <c r="EI102" s="1124"/>
      <c r="EJ102" s="1124"/>
      <c r="EK102" s="1124"/>
      <c r="EL102" s="1124"/>
      <c r="EM102" s="1124"/>
      <c r="EN102" s="1124"/>
      <c r="EO102" s="1124"/>
      <c r="EP102" s="1124"/>
      <c r="EQ102" s="1124"/>
      <c r="ER102" s="1124"/>
      <c r="ES102" s="1124"/>
      <c r="ET102" s="1124"/>
      <c r="EU102" s="1124"/>
      <c r="EV102" s="1124"/>
      <c r="EW102" s="1124"/>
      <c r="EX102" s="1124"/>
      <c r="EY102" s="1124"/>
      <c r="EZ102" s="1124"/>
      <c r="FA102" s="1124"/>
      <c r="FB102" s="1124"/>
      <c r="FC102" s="1124"/>
      <c r="FD102" s="1124"/>
      <c r="FE102" s="1124"/>
      <c r="FF102" s="1124"/>
      <c r="FG102" s="1124"/>
      <c r="FH102" s="1124"/>
      <c r="FI102" s="1124"/>
      <c r="FJ102" s="1124"/>
      <c r="FK102" s="1124"/>
      <c r="FL102" s="1124"/>
      <c r="FM102" s="1124"/>
      <c r="FN102" s="1124"/>
      <c r="FO102" s="1124"/>
      <c r="FP102" s="1124"/>
      <c r="FQ102" s="1124"/>
      <c r="FR102" s="1124"/>
      <c r="FS102" s="1124"/>
      <c r="FT102" s="1124"/>
      <c r="FU102" s="1124"/>
      <c r="FV102" s="1124"/>
      <c r="FW102" s="1124"/>
      <c r="FX102" s="910"/>
    </row>
    <row r="103" s="872" customFormat="1" ht="12" customHeight="1">
      <c r="A103" s="872"/>
      <c r="B103" s="873"/>
      <c r="C103" s="872"/>
      <c r="D103" s="872"/>
      <c r="E103" s="872"/>
      <c r="F103" s="1127"/>
      <c r="G103" s="1101" t="s">
        <v>1143</v>
      </c>
      <c r="H103" s="1101"/>
      <c r="I103" s="1101"/>
      <c r="J103" s="1101"/>
      <c r="K103" s="1101"/>
      <c r="L103" s="1101"/>
      <c r="M103" s="1101"/>
      <c r="N103" s="1101"/>
      <c r="O103" s="1101"/>
      <c r="P103" s="1101"/>
      <c r="Q103" s="1101"/>
      <c r="R103" s="1101"/>
      <c r="S103" s="1101"/>
      <c r="T103" s="1101"/>
      <c r="U103" s="1101"/>
      <c r="V103" s="1101"/>
      <c r="W103" s="1101"/>
      <c r="X103" s="1101"/>
      <c r="Y103" s="1101"/>
      <c r="Z103" s="1101"/>
      <c r="AA103" s="1101"/>
      <c r="AB103" s="1101"/>
      <c r="AC103" s="1101"/>
      <c r="AD103" s="1101"/>
      <c r="AE103" s="1101"/>
      <c r="AF103" s="1101"/>
      <c r="AG103" s="1101"/>
      <c r="AH103" s="1101"/>
      <c r="AI103" s="1101"/>
      <c r="AJ103" s="1101"/>
      <c r="AK103" s="1101"/>
      <c r="AL103" s="1101"/>
      <c r="AM103" s="1101"/>
      <c r="AN103" s="1101"/>
      <c r="AO103" s="1101"/>
      <c r="AP103" s="1101"/>
      <c r="AQ103" s="1101"/>
      <c r="AR103" s="1101"/>
      <c r="AS103" s="1101"/>
      <c r="AT103" s="1101"/>
      <c r="AU103" s="1101"/>
      <c r="AV103" s="1101"/>
      <c r="AW103" s="1101"/>
      <c r="AX103" s="1101"/>
      <c r="AY103" s="1101"/>
      <c r="AZ103" s="1101"/>
      <c r="BA103" s="1101"/>
      <c r="BB103" s="1101"/>
      <c r="BC103" s="1101"/>
      <c r="BD103" s="1101"/>
      <c r="BE103" s="1101"/>
      <c r="BF103" s="1101"/>
      <c r="BG103" s="1101"/>
      <c r="BH103" s="1101"/>
      <c r="BI103" s="1101"/>
      <c r="BJ103" s="1101"/>
      <c r="BK103" s="1101"/>
      <c r="BL103" s="1101"/>
      <c r="BM103" s="1101"/>
      <c r="BN103" s="1101"/>
      <c r="BO103" s="1101"/>
      <c r="BP103" s="1101"/>
      <c r="BQ103" s="1101"/>
      <c r="BR103" s="1101"/>
      <c r="BS103" s="1101"/>
      <c r="BT103" s="1101"/>
      <c r="BU103" s="1101"/>
      <c r="BV103" s="1101"/>
      <c r="BW103" s="1101"/>
      <c r="BX103" s="1101"/>
      <c r="BY103" s="1101"/>
      <c r="BZ103" s="1101"/>
      <c r="CA103" s="1101"/>
      <c r="CB103" s="1101"/>
      <c r="CC103" s="1101"/>
      <c r="CD103" s="1101"/>
      <c r="CE103" s="1101"/>
      <c r="CF103" s="1101"/>
      <c r="CG103" s="1101"/>
      <c r="CH103" s="1101"/>
      <c r="CI103" s="1101"/>
      <c r="CJ103" s="1101"/>
      <c r="CK103" s="1101"/>
      <c r="CL103" s="1101"/>
      <c r="CM103" s="1101"/>
      <c r="CN103" s="1101"/>
      <c r="CO103" s="1101"/>
      <c r="CP103" s="1101"/>
      <c r="CQ103" s="1101"/>
      <c r="CR103" s="1101"/>
      <c r="CS103" s="1101"/>
      <c r="CT103" s="1101"/>
      <c r="CU103" s="1101"/>
      <c r="CV103" s="1101"/>
      <c r="CW103" s="1101"/>
      <c r="CX103" s="1101"/>
      <c r="CY103" s="1101"/>
      <c r="CZ103" s="1101"/>
      <c r="DA103" s="1101"/>
      <c r="DB103" s="1101"/>
      <c r="DC103" s="1101"/>
      <c r="DD103" s="1101"/>
      <c r="DE103" s="1101"/>
      <c r="DF103" s="1101"/>
      <c r="DG103" s="1101"/>
      <c r="DH103" s="1101"/>
      <c r="DI103" s="1101"/>
      <c r="DJ103" s="1101"/>
      <c r="DK103" s="1101"/>
      <c r="DL103" s="1101"/>
      <c r="DM103" s="1101"/>
      <c r="DN103" s="1101"/>
      <c r="DO103" s="1101"/>
      <c r="DP103" s="1101"/>
      <c r="DQ103" s="1101"/>
      <c r="DR103" s="1101"/>
      <c r="DS103" s="1101"/>
      <c r="DT103" s="1101"/>
      <c r="DU103" s="1101"/>
      <c r="DV103" s="1101"/>
      <c r="DW103" s="1101"/>
      <c r="DX103" s="1101"/>
      <c r="DY103" s="1101"/>
      <c r="DZ103" s="1101"/>
      <c r="EA103" s="1101"/>
      <c r="EB103" s="1101"/>
      <c r="EC103" s="1101"/>
      <c r="ED103" s="1101"/>
      <c r="EE103" s="1101"/>
      <c r="EF103" s="1101"/>
      <c r="EG103" s="1101"/>
      <c r="EH103" s="1101"/>
      <c r="EI103" s="1101"/>
      <c r="EJ103" s="1101"/>
      <c r="EK103" s="1101"/>
      <c r="EL103" s="1101"/>
      <c r="EM103" s="1101"/>
      <c r="EN103" s="1101"/>
      <c r="EO103" s="1101"/>
      <c r="EP103" s="1101"/>
      <c r="EQ103" s="1101"/>
      <c r="ER103" s="1101"/>
      <c r="ES103" s="1101"/>
      <c r="ET103" s="1101"/>
      <c r="EU103" s="1101"/>
      <c r="EV103" s="1101"/>
      <c r="EW103" s="1101"/>
      <c r="EX103" s="1101"/>
      <c r="EY103" s="1101"/>
      <c r="EZ103" s="1101"/>
      <c r="FA103" s="1101"/>
      <c r="FB103" s="1101"/>
      <c r="FC103" s="1101"/>
      <c r="FD103" s="1101"/>
      <c r="FE103" s="1101"/>
      <c r="FF103" s="1101"/>
      <c r="FG103" s="1101"/>
      <c r="FH103" s="1101"/>
      <c r="FI103" s="1101"/>
      <c r="FJ103" s="1101"/>
      <c r="FK103" s="1101"/>
      <c r="FL103" s="1101"/>
      <c r="FM103" s="1101"/>
      <c r="FN103" s="1101"/>
      <c r="FO103" s="1101"/>
      <c r="FP103" s="1101"/>
      <c r="FQ103" s="1101"/>
      <c r="FR103" s="1101"/>
      <c r="FS103" s="1101"/>
      <c r="FT103" s="1101"/>
      <c r="FU103" s="1101"/>
      <c r="FV103" s="1101"/>
      <c r="FW103" s="1128"/>
      <c r="FX103" s="142"/>
      <c r="FY103" s="874"/>
      <c r="FZ103" s="874"/>
      <c r="GA103" s="874"/>
      <c r="GB103" s="874"/>
    </row>
    <row r="105" s="1030" customFormat="1" ht="11.25" customHeight="1">
      <c r="A105" s="1030" t="s">
        <v>1144</v>
      </c>
    </row>
    <row r="107" s="63" customFormat="1" ht="15" customHeight="1">
      <c r="A107" s="760"/>
      <c r="D107" s="226" t="s">
        <v>111</v>
      </c>
      <c r="E107" s="762" t="s">
        <v>107</v>
      </c>
      <c r="F107" s="763"/>
      <c r="G107" s="764"/>
      <c r="H107" s="79" t="str">
        <f>IF(A107="","",INDEX(DIFFERENTIATION_UNMERGE_VD,MATCH(A107,DIFFERENTIATION_ID_DIFF,0)))</f>
        <v/>
      </c>
      <c r="I107" s="79"/>
      <c r="J107" s="79"/>
      <c r="K107" s="79"/>
      <c r="L107" s="79"/>
      <c r="M107" s="79"/>
      <c r="N107" s="79"/>
      <c r="O107" s="79"/>
      <c r="P107" s="79"/>
      <c r="Q107" s="79"/>
      <c r="R107" s="79"/>
      <c r="S107" s="765"/>
      <c r="T107" s="766"/>
      <c r="U107" s="166"/>
      <c r="V107" s="166"/>
      <c r="W107" s="64"/>
      <c r="X107" s="64"/>
      <c r="Y107" s="64"/>
      <c r="Z107" s="64"/>
      <c r="AA107" s="166"/>
      <c r="AB107" s="64"/>
      <c r="AC107" s="767"/>
      <c r="AD107" s="64"/>
      <c r="AE107" s="768" t="s">
        <v>18</v>
      </c>
      <c r="AF107" s="768"/>
      <c r="AG107" s="769" t="s">
        <v>591</v>
      </c>
      <c r="AH107" s="770">
        <v>3</v>
      </c>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c r="BT107" s="166"/>
      <c r="BU107" s="166"/>
      <c r="BV107" s="64"/>
      <c r="BW107" s="64"/>
      <c r="BX107" s="64"/>
      <c r="BY107" s="64"/>
      <c r="BZ107" s="64"/>
      <c r="CA107" s="64"/>
      <c r="CB107" s="64"/>
      <c r="CC107" s="64"/>
      <c r="CD107" s="64"/>
      <c r="CE107" s="64"/>
    </row>
    <row r="108" s="63" customFormat="1" ht="15" customHeight="1">
      <c r="A108" s="760"/>
      <c r="D108" s="1129"/>
      <c r="E108" s="762" t="s">
        <v>546</v>
      </c>
      <c r="F108" s="763"/>
      <c r="G108" s="764"/>
      <c r="H108" s="79" t="str">
        <f>IF(A107="","",INDEX(DIFFERENTIATION_UNMERGE_AREA,MATCH(A107,DIFFERENTIATION_ID_DIFF,0)))</f>
        <v/>
      </c>
      <c r="I108" s="79"/>
      <c r="J108" s="79"/>
      <c r="K108" s="79"/>
      <c r="L108" s="79"/>
      <c r="M108" s="79"/>
      <c r="N108" s="79"/>
      <c r="O108" s="79"/>
      <c r="P108" s="79"/>
      <c r="Q108" s="79"/>
      <c r="R108" s="79"/>
      <c r="S108" s="765"/>
      <c r="T108" s="766"/>
      <c r="U108" s="166"/>
      <c r="V108" s="166"/>
      <c r="W108" s="64"/>
      <c r="X108" s="64"/>
      <c r="Y108" s="64"/>
      <c r="Z108" s="64"/>
      <c r="AA108" s="166"/>
      <c r="AB108" s="64"/>
      <c r="AC108" s="767"/>
      <c r="AD108" s="64"/>
      <c r="AE108" s="768"/>
      <c r="AF108" s="768"/>
      <c r="AG108" s="769"/>
      <c r="AH108" s="770"/>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c r="BT108" s="166"/>
      <c r="BU108" s="166"/>
      <c r="BV108" s="64"/>
      <c r="BW108" s="64"/>
      <c r="BX108" s="64"/>
      <c r="BY108" s="64"/>
      <c r="BZ108" s="64"/>
      <c r="CA108" s="64"/>
      <c r="CB108" s="64"/>
      <c r="CC108" s="64"/>
      <c r="CD108" s="64"/>
      <c r="CE108" s="64"/>
    </row>
    <row r="109" s="63" customFormat="1" ht="15" customHeight="1">
      <c r="A109" s="760"/>
      <c r="D109" s="1129"/>
      <c r="E109" s="762" t="s">
        <v>547</v>
      </c>
      <c r="F109" s="763"/>
      <c r="G109" s="764"/>
      <c r="H109" s="79" t="str">
        <f>IF(A107="","",INDEX(DIFFERENTIATION_UNMERGE_SYSTEM,MATCH(A107,DIFFERENTIATION_ID_DIFF,0)))</f>
        <v/>
      </c>
      <c r="I109" s="79"/>
      <c r="J109" s="79"/>
      <c r="K109" s="79"/>
      <c r="L109" s="79"/>
      <c r="M109" s="79"/>
      <c r="N109" s="79"/>
      <c r="O109" s="79"/>
      <c r="P109" s="79"/>
      <c r="Q109" s="79"/>
      <c r="R109" s="79"/>
      <c r="S109" s="765"/>
      <c r="T109" s="766"/>
      <c r="U109" s="166"/>
      <c r="V109" s="166"/>
      <c r="W109" s="64"/>
      <c r="X109" s="64"/>
      <c r="Y109" s="64"/>
      <c r="Z109" s="64"/>
      <c r="AA109" s="166"/>
      <c r="AB109" s="64"/>
      <c r="AC109" s="767"/>
      <c r="AD109" s="64"/>
      <c r="AE109" s="768"/>
      <c r="AF109" s="768"/>
      <c r="AG109" s="769"/>
      <c r="AH109" s="770"/>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64"/>
      <c r="BW109" s="64"/>
      <c r="BX109" s="64"/>
      <c r="BY109" s="64"/>
      <c r="BZ109" s="64"/>
      <c r="CA109" s="64"/>
      <c r="CB109" s="64"/>
      <c r="CC109" s="64"/>
      <c r="CD109" s="64"/>
      <c r="CE109" s="64"/>
    </row>
    <row r="110" s="63" customFormat="1" ht="24.75" customHeight="1">
      <c r="A110" s="113"/>
      <c r="B110" s="53"/>
      <c r="C110" s="170"/>
      <c r="D110" s="1129"/>
      <c r="E110" s="772" t="s">
        <v>592</v>
      </c>
      <c r="F110" s="772"/>
      <c r="G110" s="772"/>
      <c r="H110" s="772"/>
      <c r="I110" s="772"/>
      <c r="J110" s="772"/>
      <c r="K110" s="772"/>
      <c r="L110" s="772"/>
      <c r="M110" s="772"/>
      <c r="N110" s="772"/>
      <c r="O110" s="772"/>
      <c r="P110" s="772"/>
      <c r="Q110" s="707">
        <f>SUMIF(T111:T112,"i",Q111:Q112)</f>
        <v>0</v>
      </c>
      <c r="R110" s="773"/>
      <c r="S110" s="312" t="s">
        <v>593</v>
      </c>
      <c r="T110" s="766" t="s">
        <v>594</v>
      </c>
      <c r="U110" s="131">
        <v>1</v>
      </c>
      <c r="V110" s="131" t="s">
        <v>557</v>
      </c>
      <c r="W110" s="53"/>
      <c r="X110" s="53"/>
      <c r="Y110" s="53"/>
      <c r="Z110" s="53"/>
      <c r="AA110" s="57"/>
      <c r="AB110" s="53"/>
      <c r="AC110" s="767"/>
      <c r="AD110" s="64"/>
      <c r="AE110" s="53"/>
      <c r="AF110" s="53"/>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3"/>
      <c r="BW110" s="53"/>
      <c r="BX110" s="53"/>
      <c r="BY110" s="53"/>
      <c r="BZ110" s="53"/>
      <c r="CA110" s="53"/>
      <c r="CB110" s="53"/>
      <c r="CC110" s="53"/>
      <c r="CD110" s="53"/>
      <c r="CE110" s="53"/>
    </row>
    <row r="111" s="63" customFormat="1" ht="11.25" hidden="1" customHeight="1">
      <c r="A111" s="131"/>
      <c r="B111" s="57"/>
      <c r="C111" s="57"/>
      <c r="D111" s="1129"/>
      <c r="E111" s="351"/>
      <c r="F111" s="351">
        <v>0</v>
      </c>
      <c r="G111" s="351"/>
      <c r="H111" s="351"/>
      <c r="I111" s="351"/>
      <c r="J111" s="351"/>
      <c r="K111" s="351"/>
      <c r="L111" s="351"/>
      <c r="M111" s="351"/>
      <c r="N111" s="351"/>
      <c r="O111" s="351"/>
      <c r="P111" s="351"/>
      <c r="Q111" s="351"/>
      <c r="R111" s="351"/>
      <c r="S111" s="350"/>
      <c r="T111" s="774"/>
      <c r="U111" s="131"/>
      <c r="V111" s="131"/>
      <c r="W111" s="57"/>
      <c r="X111" s="57"/>
      <c r="Y111" s="57"/>
      <c r="Z111" s="57"/>
      <c r="AA111" s="57"/>
      <c r="AB111" s="53"/>
      <c r="AC111" s="767"/>
      <c r="AD111" s="64"/>
      <c r="AE111" s="53"/>
      <c r="AF111" s="53"/>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row>
    <row r="112" s="63" customFormat="1" ht="11.25" customHeight="1">
      <c r="A112" s="113"/>
      <c r="B112" s="53"/>
      <c r="C112" s="170"/>
      <c r="D112" s="1129"/>
      <c r="E112" s="620" t="s">
        <v>18</v>
      </c>
      <c r="F112" s="174" t="s">
        <v>18</v>
      </c>
      <c r="G112" s="174" t="s">
        <v>1145</v>
      </c>
      <c r="H112" s="179" t="s">
        <v>18</v>
      </c>
      <c r="I112" s="179"/>
      <c r="J112" s="179"/>
      <c r="K112" s="179"/>
      <c r="L112" s="179"/>
      <c r="M112" s="179"/>
      <c r="N112" s="179"/>
      <c r="O112" s="179"/>
      <c r="P112" s="179"/>
      <c r="Q112" s="179"/>
      <c r="R112" s="230"/>
      <c r="S112" s="1130"/>
      <c r="T112" s="774"/>
      <c r="U112" s="131"/>
      <c r="V112" s="131"/>
      <c r="W112" s="53"/>
      <c r="X112" s="53"/>
      <c r="Y112" s="53"/>
      <c r="Z112" s="53"/>
      <c r="AA112" s="57"/>
      <c r="AB112" s="53"/>
      <c r="AC112" s="767"/>
      <c r="AD112" s="64"/>
      <c r="AE112" s="53"/>
      <c r="AF112" s="53"/>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3"/>
      <c r="BW112" s="53"/>
      <c r="BX112" s="53"/>
      <c r="BY112" s="53"/>
      <c r="BZ112" s="53"/>
      <c r="CA112" s="53"/>
      <c r="CB112" s="53"/>
      <c r="CC112" s="53"/>
      <c r="CD112" s="53"/>
      <c r="CE112" s="53"/>
    </row>
    <row r="113" s="63" customFormat="1" ht="24.75" customHeight="1">
      <c r="A113" s="113"/>
      <c r="B113" s="53"/>
      <c r="C113" s="170"/>
      <c r="D113" s="1129"/>
      <c r="E113" s="772" t="s">
        <v>595</v>
      </c>
      <c r="F113" s="772"/>
      <c r="G113" s="772"/>
      <c r="H113" s="772"/>
      <c r="I113" s="772"/>
      <c r="J113" s="772"/>
      <c r="K113" s="772"/>
      <c r="L113" s="772"/>
      <c r="M113" s="772"/>
      <c r="N113" s="772"/>
      <c r="O113" s="772"/>
      <c r="P113" s="772"/>
      <c r="Q113" s="707">
        <f>SUMIF(T114:T115,"i",Q114:Q115)</f>
        <v>0</v>
      </c>
      <c r="R113" s="773"/>
      <c r="S113" s="312" t="s">
        <v>596</v>
      </c>
      <c r="T113" s="766" t="s">
        <v>594</v>
      </c>
      <c r="U113" s="131">
        <v>1</v>
      </c>
      <c r="V113" s="131" t="s">
        <v>557</v>
      </c>
      <c r="W113" s="53"/>
      <c r="X113" s="53"/>
      <c r="Y113" s="53"/>
      <c r="Z113" s="53"/>
      <c r="AA113" s="57"/>
      <c r="AB113" s="53"/>
      <c r="AC113" s="767"/>
      <c r="AD113" s="64"/>
      <c r="AE113" s="53"/>
      <c r="AF113" s="53"/>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3"/>
      <c r="BW113" s="53"/>
      <c r="BX113" s="53"/>
      <c r="BY113" s="53"/>
      <c r="BZ113" s="53"/>
      <c r="CA113" s="53"/>
      <c r="CB113" s="53"/>
      <c r="CC113" s="53"/>
      <c r="CD113" s="53"/>
      <c r="CE113" s="53"/>
    </row>
    <row r="114" s="63" customFormat="1" ht="11.25" hidden="1" customHeight="1">
      <c r="A114" s="131"/>
      <c r="B114" s="57"/>
      <c r="C114" s="57"/>
      <c r="D114" s="1129"/>
      <c r="E114" s="351"/>
      <c r="F114" s="351">
        <v>0</v>
      </c>
      <c r="G114" s="351"/>
      <c r="H114" s="351"/>
      <c r="I114" s="351"/>
      <c r="J114" s="351"/>
      <c r="K114" s="351"/>
      <c r="L114" s="351"/>
      <c r="M114" s="351"/>
      <c r="N114" s="351"/>
      <c r="O114" s="351"/>
      <c r="P114" s="351"/>
      <c r="Q114" s="351"/>
      <c r="R114" s="351"/>
      <c r="S114" s="350"/>
      <c r="T114" s="774"/>
      <c r="U114" s="131"/>
      <c r="V114" s="131"/>
      <c r="W114" s="57"/>
      <c r="X114" s="57"/>
      <c r="Y114" s="57"/>
      <c r="Z114" s="57"/>
      <c r="AA114" s="57"/>
      <c r="AB114" s="53"/>
      <c r="AC114" s="767"/>
      <c r="AD114" s="64"/>
      <c r="AE114" s="53"/>
      <c r="AF114" s="53"/>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row>
    <row r="115" s="63" customFormat="1" ht="11.25" customHeight="1">
      <c r="A115" s="113"/>
      <c r="B115" s="53"/>
      <c r="C115" s="170"/>
      <c r="D115" s="1131"/>
      <c r="E115" s="620" t="s">
        <v>18</v>
      </c>
      <c r="F115" s="174" t="s">
        <v>18</v>
      </c>
      <c r="G115" s="174" t="s">
        <v>1145</v>
      </c>
      <c r="H115" s="179" t="s">
        <v>18</v>
      </c>
      <c r="I115" s="179"/>
      <c r="J115" s="179"/>
      <c r="K115" s="179"/>
      <c r="L115" s="179"/>
      <c r="M115" s="179"/>
      <c r="N115" s="179"/>
      <c r="O115" s="179"/>
      <c r="P115" s="179"/>
      <c r="Q115" s="179"/>
      <c r="R115" s="230"/>
      <c r="S115" s="1130"/>
      <c r="T115" s="774"/>
      <c r="U115" s="131"/>
      <c r="V115" s="131"/>
      <c r="W115" s="53"/>
      <c r="X115" s="53"/>
      <c r="Y115" s="53"/>
      <c r="Z115" s="53"/>
      <c r="AA115" s="57"/>
      <c r="AB115" s="53"/>
      <c r="AC115" s="767"/>
      <c r="AD115" s="64"/>
      <c r="AE115" s="53"/>
      <c r="AF115" s="53"/>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3"/>
      <c r="BW115" s="53"/>
      <c r="BX115" s="53"/>
      <c r="BY115" s="53"/>
      <c r="BZ115" s="53"/>
      <c r="CA115" s="53"/>
      <c r="CB115" s="53"/>
      <c r="CC115" s="53"/>
      <c r="CD115" s="53"/>
      <c r="CE115" s="53"/>
    </row>
    <row r="117" s="1030" customFormat="1" ht="11.25" customHeight="1">
      <c r="A117" s="1030" t="s">
        <v>1146</v>
      </c>
    </row>
    <row r="119" s="63" customFormat="1" ht="15" customHeight="1">
      <c r="A119" s="760"/>
      <c r="D119" s="226" t="s">
        <v>111</v>
      </c>
      <c r="E119" s="762" t="s">
        <v>107</v>
      </c>
      <c r="F119" s="763"/>
      <c r="G119" s="764"/>
      <c r="H119" s="79" t="str">
        <f>IF(A119="","",INDEX(DIFFERENTIATION_UNMERGE_VD,MATCH(A119,DIFFERENTIATION_ID_DIFF,0)))</f>
        <v/>
      </c>
      <c r="I119" s="79"/>
      <c r="J119" s="79"/>
      <c r="K119" s="79"/>
      <c r="L119" s="79"/>
      <c r="M119" s="79"/>
      <c r="N119" s="79"/>
      <c r="O119" s="79"/>
      <c r="P119" s="79"/>
      <c r="Q119" s="79"/>
      <c r="R119" s="79"/>
      <c r="S119" s="765"/>
      <c r="T119" s="766"/>
      <c r="U119" s="166"/>
      <c r="V119" s="166"/>
      <c r="W119" s="64"/>
      <c r="X119" s="64"/>
      <c r="Y119" s="64"/>
      <c r="Z119" s="64"/>
      <c r="AA119" s="166"/>
      <c r="AB119" s="64"/>
      <c r="AC119" s="767"/>
      <c r="AD119" s="64"/>
      <c r="AE119" s="768" t="s">
        <v>18</v>
      </c>
      <c r="AF119" s="768"/>
      <c r="AG119" s="769" t="s">
        <v>591</v>
      </c>
      <c r="AH119" s="770">
        <v>3</v>
      </c>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c r="BF119" s="166"/>
      <c r="BG119" s="166"/>
      <c r="BH119" s="166"/>
      <c r="BI119" s="166"/>
      <c r="BJ119" s="166"/>
      <c r="BK119" s="166"/>
      <c r="BL119" s="166"/>
      <c r="BM119" s="166"/>
      <c r="BN119" s="166"/>
      <c r="BO119" s="166"/>
      <c r="BP119" s="166"/>
      <c r="BQ119" s="166"/>
      <c r="BR119" s="166"/>
      <c r="BS119" s="166"/>
      <c r="BT119" s="166"/>
      <c r="BU119" s="166"/>
      <c r="BV119" s="64"/>
      <c r="BW119" s="64"/>
      <c r="BX119" s="64"/>
      <c r="BY119" s="64"/>
      <c r="BZ119" s="64"/>
      <c r="CA119" s="64"/>
      <c r="CB119" s="64"/>
      <c r="CC119" s="64"/>
      <c r="CD119" s="64"/>
      <c r="CE119" s="64"/>
    </row>
    <row r="120" s="63" customFormat="1" ht="15" customHeight="1">
      <c r="A120" s="760"/>
      <c r="D120" s="1129"/>
      <c r="E120" s="762" t="s">
        <v>546</v>
      </c>
      <c r="F120" s="763"/>
      <c r="G120" s="764"/>
      <c r="H120" s="79" t="str">
        <f>IF(A119="","",INDEX(DIFFERENTIATION_UNMERGE_AREA,MATCH(A119,DIFFERENTIATION_ID_DIFF,0)))</f>
        <v/>
      </c>
      <c r="I120" s="79"/>
      <c r="J120" s="79"/>
      <c r="K120" s="79"/>
      <c r="L120" s="79"/>
      <c r="M120" s="79"/>
      <c r="N120" s="79"/>
      <c r="O120" s="79"/>
      <c r="P120" s="79"/>
      <c r="Q120" s="79"/>
      <c r="R120" s="79"/>
      <c r="S120" s="765"/>
      <c r="T120" s="766"/>
      <c r="U120" s="166"/>
      <c r="V120" s="166"/>
      <c r="W120" s="64"/>
      <c r="X120" s="64"/>
      <c r="Y120" s="64"/>
      <c r="Z120" s="64"/>
      <c r="AA120" s="166"/>
      <c r="AB120" s="64"/>
      <c r="AC120" s="767"/>
      <c r="AD120" s="64"/>
      <c r="AE120" s="768"/>
      <c r="AF120" s="768"/>
      <c r="AG120" s="769"/>
      <c r="AH120" s="770"/>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6"/>
      <c r="BE120" s="166"/>
      <c r="BF120" s="166"/>
      <c r="BG120" s="166"/>
      <c r="BH120" s="166"/>
      <c r="BI120" s="166"/>
      <c r="BJ120" s="166"/>
      <c r="BK120" s="166"/>
      <c r="BL120" s="166"/>
      <c r="BM120" s="166"/>
      <c r="BN120" s="166"/>
      <c r="BO120" s="166"/>
      <c r="BP120" s="166"/>
      <c r="BQ120" s="166"/>
      <c r="BR120" s="166"/>
      <c r="BS120" s="166"/>
      <c r="BT120" s="166"/>
      <c r="BU120" s="166"/>
      <c r="BV120" s="64"/>
      <c r="BW120" s="64"/>
      <c r="BX120" s="64"/>
      <c r="BY120" s="64"/>
      <c r="BZ120" s="64"/>
      <c r="CA120" s="64"/>
      <c r="CB120" s="64"/>
      <c r="CC120" s="64"/>
      <c r="CD120" s="64"/>
      <c r="CE120" s="64"/>
    </row>
    <row r="121" s="63" customFormat="1" ht="15" customHeight="1">
      <c r="A121" s="760"/>
      <c r="D121" s="1129"/>
      <c r="E121" s="762" t="s">
        <v>547</v>
      </c>
      <c r="F121" s="763"/>
      <c r="G121" s="764"/>
      <c r="H121" s="79" t="str">
        <f>IF(A119="","",INDEX(DIFFERENTIATION_UNMERGE_SYSTEM,MATCH(A119,DIFFERENTIATION_ID_DIFF,0)))</f>
        <v/>
      </c>
      <c r="I121" s="79"/>
      <c r="J121" s="79"/>
      <c r="K121" s="79"/>
      <c r="L121" s="79"/>
      <c r="M121" s="79"/>
      <c r="N121" s="79"/>
      <c r="O121" s="79"/>
      <c r="P121" s="79"/>
      <c r="Q121" s="79"/>
      <c r="R121" s="79"/>
      <c r="S121" s="765"/>
      <c r="T121" s="766"/>
      <c r="U121" s="166"/>
      <c r="V121" s="166"/>
      <c r="W121" s="64"/>
      <c r="X121" s="64"/>
      <c r="Y121" s="64"/>
      <c r="Z121" s="64"/>
      <c r="AA121" s="166"/>
      <c r="AB121" s="64"/>
      <c r="AC121" s="767"/>
      <c r="AD121" s="64"/>
      <c r="AE121" s="768"/>
      <c r="AF121" s="768"/>
      <c r="AG121" s="769"/>
      <c r="AH121" s="770"/>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64"/>
      <c r="BW121" s="64"/>
      <c r="BX121" s="64"/>
      <c r="BY121" s="64"/>
      <c r="BZ121" s="64"/>
      <c r="CA121" s="64"/>
      <c r="CB121" s="64"/>
      <c r="CC121" s="64"/>
      <c r="CD121" s="64"/>
      <c r="CE121" s="64"/>
    </row>
    <row r="122" s="63" customFormat="1" ht="24.75" customHeight="1">
      <c r="A122" s="113"/>
      <c r="B122" s="53"/>
      <c r="C122" s="170"/>
      <c r="D122" s="1129"/>
      <c r="E122" s="772" t="s">
        <v>592</v>
      </c>
      <c r="F122" s="772"/>
      <c r="G122" s="772"/>
      <c r="H122" s="772"/>
      <c r="I122" s="772"/>
      <c r="J122" s="772"/>
      <c r="K122" s="772"/>
      <c r="L122" s="772"/>
      <c r="M122" s="772"/>
      <c r="N122" s="772"/>
      <c r="O122" s="772"/>
      <c r="P122" s="772"/>
      <c r="Q122" s="707">
        <f>SUMIF(T123:T124,"i",Q123:Q124)</f>
        <v>0</v>
      </c>
      <c r="R122" s="773"/>
      <c r="S122" s="312" t="s">
        <v>593</v>
      </c>
      <c r="T122" s="766" t="s">
        <v>594</v>
      </c>
      <c r="U122" s="131">
        <v>1</v>
      </c>
      <c r="V122" s="131" t="s">
        <v>557</v>
      </c>
      <c r="W122" s="53"/>
      <c r="X122" s="53"/>
      <c r="Y122" s="53"/>
      <c r="Z122" s="53"/>
      <c r="AA122" s="57"/>
      <c r="AB122" s="53"/>
      <c r="AC122" s="767"/>
      <c r="AD122" s="64"/>
      <c r="AE122" s="53"/>
      <c r="AF122" s="53"/>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3"/>
      <c r="BW122" s="53"/>
      <c r="BX122" s="53"/>
      <c r="BY122" s="53"/>
      <c r="BZ122" s="53"/>
      <c r="CA122" s="53"/>
      <c r="CB122" s="53"/>
      <c r="CC122" s="53"/>
      <c r="CD122" s="53"/>
      <c r="CE122" s="53"/>
    </row>
    <row r="123" s="63" customFormat="1" ht="11.25" hidden="1" customHeight="1">
      <c r="A123" s="131"/>
      <c r="B123" s="57"/>
      <c r="C123" s="57"/>
      <c r="D123" s="1129"/>
      <c r="E123" s="351"/>
      <c r="F123" s="351">
        <v>0</v>
      </c>
      <c r="G123" s="351"/>
      <c r="H123" s="351"/>
      <c r="I123" s="351"/>
      <c r="J123" s="351"/>
      <c r="K123" s="351"/>
      <c r="L123" s="351"/>
      <c r="M123" s="351"/>
      <c r="N123" s="351"/>
      <c r="O123" s="351"/>
      <c r="P123" s="351"/>
      <c r="Q123" s="351"/>
      <c r="R123" s="351"/>
      <c r="S123" s="350"/>
      <c r="T123" s="774"/>
      <c r="U123" s="131"/>
      <c r="V123" s="131"/>
      <c r="W123" s="57"/>
      <c r="X123" s="57"/>
      <c r="Y123" s="57"/>
      <c r="Z123" s="57"/>
      <c r="AA123" s="57"/>
      <c r="AB123" s="53"/>
      <c r="AC123" s="767"/>
      <c r="AD123" s="64"/>
      <c r="AE123" s="53"/>
      <c r="AF123" s="53"/>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row>
    <row r="124" s="63" customFormat="1" ht="11.25" customHeight="1">
      <c r="A124" s="113"/>
      <c r="B124" s="53"/>
      <c r="C124" s="170"/>
      <c r="D124" s="1129"/>
      <c r="E124" s="620" t="s">
        <v>18</v>
      </c>
      <c r="F124" s="174" t="s">
        <v>18</v>
      </c>
      <c r="G124" s="174" t="s">
        <v>1145</v>
      </c>
      <c r="H124" s="179" t="s">
        <v>18</v>
      </c>
      <c r="I124" s="179"/>
      <c r="J124" s="179"/>
      <c r="K124" s="179"/>
      <c r="L124" s="179"/>
      <c r="M124" s="179"/>
      <c r="N124" s="179"/>
      <c r="O124" s="179"/>
      <c r="P124" s="179"/>
      <c r="Q124" s="179"/>
      <c r="R124" s="230"/>
      <c r="S124" s="1130"/>
      <c r="T124" s="774"/>
      <c r="U124" s="131"/>
      <c r="V124" s="131"/>
      <c r="W124" s="53"/>
      <c r="X124" s="53"/>
      <c r="Y124" s="53"/>
      <c r="Z124" s="53"/>
      <c r="AA124" s="57"/>
      <c r="AB124" s="53"/>
      <c r="AC124" s="767"/>
      <c r="AD124" s="64"/>
      <c r="AE124" s="53"/>
      <c r="AF124" s="53"/>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3"/>
      <c r="BW124" s="53"/>
      <c r="BX124" s="53"/>
      <c r="BY124" s="53"/>
      <c r="BZ124" s="53"/>
      <c r="CA124" s="53"/>
      <c r="CB124" s="53"/>
      <c r="CC124" s="53"/>
      <c r="CD124" s="53"/>
      <c r="CE124" s="53"/>
    </row>
    <row r="125" s="166" customFormat="1" ht="5.25" hidden="1" customHeight="1">
      <c r="A125" s="131"/>
      <c r="B125" s="57"/>
      <c r="C125" s="57"/>
      <c r="D125" s="1129"/>
      <c r="E125" s="1132"/>
      <c r="F125" s="1132"/>
      <c r="G125" s="1132"/>
      <c r="H125" s="1132"/>
      <c r="I125" s="1132"/>
      <c r="J125" s="1132"/>
      <c r="K125" s="1132"/>
      <c r="L125" s="1132"/>
      <c r="M125" s="1132"/>
      <c r="N125" s="1132"/>
      <c r="O125" s="1132"/>
      <c r="P125" s="1132"/>
      <c r="Q125" s="634"/>
      <c r="R125" s="1133"/>
      <c r="S125" s="351"/>
      <c r="T125" s="766" t="s">
        <v>594</v>
      </c>
      <c r="U125" s="131">
        <v>1</v>
      </c>
      <c r="V125" s="131" t="s">
        <v>557</v>
      </c>
      <c r="W125" s="57"/>
      <c r="X125" s="57"/>
      <c r="Y125" s="57"/>
      <c r="Z125" s="57"/>
      <c r="AA125" s="57"/>
      <c r="AB125" s="57"/>
      <c r="AC125" s="1134"/>
      <c r="AD125" s="166"/>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row>
    <row r="126" s="166" customFormat="1" ht="5.25" hidden="1" customHeight="1">
      <c r="A126" s="131"/>
      <c r="B126" s="57"/>
      <c r="C126" s="57"/>
      <c r="D126" s="1129"/>
      <c r="E126" s="351"/>
      <c r="F126" s="351"/>
      <c r="G126" s="351"/>
      <c r="H126" s="351"/>
      <c r="I126" s="351"/>
      <c r="J126" s="351"/>
      <c r="K126" s="351"/>
      <c r="L126" s="351"/>
      <c r="M126" s="351"/>
      <c r="N126" s="351"/>
      <c r="O126" s="351"/>
      <c r="P126" s="351"/>
      <c r="Q126" s="351"/>
      <c r="R126" s="351"/>
      <c r="S126" s="350"/>
      <c r="T126" s="774"/>
      <c r="U126" s="131"/>
      <c r="V126" s="131"/>
      <c r="W126" s="57"/>
      <c r="X126" s="57"/>
      <c r="Y126" s="57"/>
      <c r="Z126" s="57"/>
      <c r="AA126" s="57"/>
      <c r="AB126" s="57"/>
      <c r="AC126" s="1134"/>
      <c r="AD126" s="166"/>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row>
    <row r="127" s="166" customFormat="1" ht="5.25" hidden="1" customHeight="1">
      <c r="A127" s="131"/>
      <c r="B127" s="57"/>
      <c r="C127" s="57"/>
      <c r="D127" s="1131"/>
      <c r="E127" s="1135"/>
      <c r="F127" s="1136"/>
      <c r="G127" s="1136"/>
      <c r="H127" s="1137"/>
      <c r="I127" s="1137"/>
      <c r="J127" s="1137"/>
      <c r="K127" s="1137"/>
      <c r="L127" s="1137"/>
      <c r="M127" s="1137"/>
      <c r="N127" s="1137"/>
      <c r="O127" s="1137"/>
      <c r="P127" s="1137"/>
      <c r="Q127" s="1137"/>
      <c r="R127" s="1138"/>
      <c r="S127" s="1139"/>
      <c r="T127" s="774"/>
      <c r="U127" s="131"/>
      <c r="V127" s="131"/>
      <c r="W127" s="57"/>
      <c r="X127" s="57"/>
      <c r="Y127" s="57"/>
      <c r="Z127" s="57"/>
      <c r="AA127" s="57"/>
      <c r="AB127" s="57"/>
      <c r="AC127" s="1134"/>
      <c r="AD127" s="166"/>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row>
    <row r="128" ht="17.25" customHeight="1">
      <c r="D128" s="1140"/>
    </row>
    <row r="129" s="1030" customFormat="1" ht="11.25" customHeight="1">
      <c r="A129" s="1030" t="s">
        <v>1147</v>
      </c>
    </row>
    <row r="131" s="63" customFormat="1" ht="45" customHeight="1">
      <c r="A131" s="113"/>
      <c r="B131" s="53"/>
      <c r="C131" s="170"/>
      <c r="E131" s="1141"/>
      <c r="F131" s="219" t="s">
        <v>111</v>
      </c>
      <c r="G131" s="1142" t="s">
        <v>18</v>
      </c>
      <c r="H131" s="484"/>
      <c r="I131" s="1143" t="s">
        <v>111</v>
      </c>
      <c r="J131" s="937" t="s">
        <v>1148</v>
      </c>
      <c r="K131" s="252" t="s">
        <v>528</v>
      </c>
      <c r="L131" s="417" t="s">
        <v>528</v>
      </c>
      <c r="M131" s="247"/>
      <c r="N131" s="252" t="s">
        <v>528</v>
      </c>
      <c r="O131" s="252" t="s">
        <v>528</v>
      </c>
      <c r="P131" s="252" t="s">
        <v>528</v>
      </c>
      <c r="Q131" s="867">
        <f>SUM(Q132:Q134)</f>
        <v>0</v>
      </c>
      <c r="R131" s="867">
        <f>IF(R128=0,0,(Q128/R128)*100)</f>
        <v>0</v>
      </c>
      <c r="S131" s="312"/>
      <c r="T131" s="766" t="s">
        <v>594</v>
      </c>
    </row>
    <row r="132" s="63" customFormat="1" ht="11.25" customHeight="1">
      <c r="A132" s="113"/>
      <c r="B132" s="53"/>
      <c r="C132" s="170"/>
      <c r="E132" s="1064"/>
      <c r="F132" s="219"/>
      <c r="G132" s="1142"/>
      <c r="H132" s="156"/>
      <c r="I132" s="895" t="s">
        <v>919</v>
      </c>
      <c r="J132" s="935"/>
      <c r="K132" s="1144"/>
      <c r="L132" s="926"/>
      <c r="M132" s="1145" t="s">
        <v>111</v>
      </c>
      <c r="N132" s="357"/>
      <c r="O132" s="432"/>
      <c r="P132" s="511"/>
      <c r="Q132" s="432"/>
      <c r="R132" s="531">
        <v>0</v>
      </c>
      <c r="S132" s="312"/>
      <c r="T132" s="766"/>
    </row>
    <row r="133" s="63" customFormat="1" ht="11.25" customHeight="1">
      <c r="A133" s="113"/>
      <c r="B133" s="53"/>
      <c r="C133" s="170"/>
      <c r="E133" s="1064"/>
      <c r="F133" s="219"/>
      <c r="G133" s="1142"/>
      <c r="H133" s="156"/>
      <c r="I133" s="895"/>
      <c r="J133" s="935"/>
      <c r="K133" s="357"/>
      <c r="L133" s="1146"/>
      <c r="M133" s="1147"/>
      <c r="N133" s="179" t="s">
        <v>1149</v>
      </c>
      <c r="O133" s="179"/>
      <c r="P133" s="179"/>
      <c r="Q133" s="179"/>
      <c r="R133" s="230"/>
      <c r="S133" s="312"/>
      <c r="T133" s="766"/>
    </row>
    <row r="134" s="63" customFormat="1" ht="11.25" customHeight="1">
      <c r="A134" s="113"/>
      <c r="B134" s="53"/>
      <c r="C134" s="170"/>
      <c r="E134" s="1148"/>
      <c r="F134" s="219"/>
      <c r="G134" s="93"/>
      <c r="H134" s="1146" t="s">
        <v>18</v>
      </c>
      <c r="I134" s="1147"/>
      <c r="J134" s="179" t="s">
        <v>1150</v>
      </c>
      <c r="K134" s="179"/>
      <c r="L134" s="179"/>
      <c r="M134" s="179"/>
      <c r="N134" s="179"/>
      <c r="O134" s="179"/>
      <c r="P134" s="179"/>
      <c r="Q134" s="179"/>
      <c r="R134" s="230"/>
      <c r="S134" s="312"/>
      <c r="T134" s="766"/>
    </row>
    <row r="139" s="63" customFormat="1" ht="11.25" customHeight="1">
      <c r="A139" s="113"/>
      <c r="B139" s="53"/>
      <c r="C139" s="170"/>
      <c r="E139" s="1106"/>
      <c r="F139" s="1106"/>
      <c r="G139" s="1106"/>
      <c r="H139" s="156"/>
      <c r="I139" s="895" t="s">
        <v>919</v>
      </c>
      <c r="J139" s="935"/>
      <c r="K139" s="1144"/>
      <c r="L139" s="926"/>
      <c r="M139" s="1145" t="s">
        <v>111</v>
      </c>
      <c r="N139" s="357"/>
      <c r="O139" s="432"/>
      <c r="P139" s="511"/>
      <c r="Q139" s="432"/>
      <c r="R139" s="531">
        <v>0</v>
      </c>
      <c r="T139" s="766"/>
    </row>
    <row r="140" s="63" customFormat="1" ht="11.25" customHeight="1">
      <c r="A140" s="113"/>
      <c r="B140" s="53"/>
      <c r="C140" s="170"/>
      <c r="E140" s="1106"/>
      <c r="F140" s="1106"/>
      <c r="G140" s="1106"/>
      <c r="H140" s="156"/>
      <c r="I140" s="895"/>
      <c r="J140" s="935"/>
      <c r="K140" s="357"/>
      <c r="L140" s="1146"/>
      <c r="M140" s="1147"/>
      <c r="N140" s="179" t="s">
        <v>1149</v>
      </c>
      <c r="O140" s="179"/>
      <c r="P140" s="179"/>
      <c r="Q140" s="179"/>
      <c r="R140" s="230"/>
      <c r="T140" s="766"/>
    </row>
    <row r="142" s="63" customFormat="1" ht="11.25" customHeight="1">
      <c r="A142" s="113"/>
      <c r="B142" s="53"/>
      <c r="C142" s="170"/>
      <c r="E142" s="1149"/>
      <c r="H142" s="1150"/>
      <c r="I142" s="1106"/>
      <c r="J142" s="1108"/>
      <c r="K142" s="1108"/>
      <c r="L142" s="926"/>
      <c r="M142" s="1145" t="s">
        <v>111</v>
      </c>
      <c r="N142" s="357"/>
      <c r="O142" s="432"/>
      <c r="P142" s="511"/>
      <c r="Q142" s="432"/>
      <c r="R142" s="531">
        <v>0</v>
      </c>
      <c r="T142" s="766"/>
    </row>
    <row r="144" s="1030" customFormat="1" ht="17.25" customHeight="1">
      <c r="A144" s="1030" t="s">
        <v>1151</v>
      </c>
    </row>
    <row r="145" ht="17.25" customHeight="1">
      <c r="G145" s="274"/>
      <c r="H145" s="274"/>
      <c r="I145" s="274"/>
    </row>
    <row r="146" s="185" customFormat="1" ht="17.25" customHeight="1">
      <c r="A146" s="254"/>
      <c r="C146" s="127"/>
      <c r="D146" s="251"/>
      <c r="E146" s="256"/>
      <c r="F146" s="257"/>
      <c r="G146" s="1151"/>
      <c r="H146" s="251"/>
      <c r="I146" s="251">
        <v>1</v>
      </c>
      <c r="J146" s="383"/>
      <c r="K146" s="313" t="s">
        <v>56</v>
      </c>
      <c r="L146" s="219"/>
      <c r="M146" s="219" t="s">
        <v>111</v>
      </c>
      <c r="N146" s="1152" t="str">
        <f>IF(Z146="","",INDEX(TERRITORY_MR_LIST,MATCH(Z146,TERRITORY_LIST_ID,0)))</f>
        <v/>
      </c>
      <c r="O146" s="313" t="s">
        <v>56</v>
      </c>
      <c r="P146" s="219"/>
      <c r="Q146" s="219" t="s">
        <v>111</v>
      </c>
      <c r="R146" s="357" t="s">
        <v>18</v>
      </c>
      <c r="S146" s="225" t="s">
        <v>56</v>
      </c>
      <c r="T146" s="219"/>
      <c r="U146" s="219" t="s">
        <v>111</v>
      </c>
      <c r="V146" s="357" t="s">
        <v>18</v>
      </c>
      <c r="W146" s="383"/>
      <c r="Y146" s="265"/>
      <c r="Z146" s="265"/>
      <c r="AA146" s="265"/>
      <c r="AB146" s="265"/>
      <c r="AC146" s="265"/>
      <c r="AD146" s="265"/>
      <c r="AE146" s="265"/>
      <c r="AF146" s="265"/>
      <c r="AG146" s="265"/>
      <c r="AH146" s="265"/>
      <c r="AI146" s="265"/>
      <c r="AJ146" s="265"/>
      <c r="AK146" s="265"/>
      <c r="AL146" s="62"/>
      <c r="AM146" s="62"/>
      <c r="AN146" s="265"/>
      <c r="AO146" s="265"/>
      <c r="AP146" s="265"/>
      <c r="AQ146" s="265"/>
    </row>
    <row r="147" s="185" customFormat="1" ht="17.25" customHeight="1">
      <c r="A147" s="254"/>
      <c r="C147" s="185"/>
      <c r="D147" s="251"/>
      <c r="E147" s="256"/>
      <c r="F147" s="266"/>
      <c r="G147" s="1151"/>
      <c r="H147" s="251"/>
      <c r="I147" s="251"/>
      <c r="J147" s="383"/>
      <c r="K147" s="319"/>
      <c r="L147" s="219"/>
      <c r="M147" s="219"/>
      <c r="N147" s="1152"/>
      <c r="O147" s="319"/>
      <c r="P147" s="219"/>
      <c r="Q147" s="219"/>
      <c r="R147" s="357"/>
      <c r="S147" s="225"/>
      <c r="T147" s="1153"/>
      <c r="U147" s="1154"/>
      <c r="V147" s="1154" t="s">
        <v>404</v>
      </c>
      <c r="W147" s="1155"/>
      <c r="Y147" s="106"/>
      <c r="Z147" s="106"/>
      <c r="AA147" s="106"/>
      <c r="AB147" s="106"/>
      <c r="AC147" s="106"/>
      <c r="AD147" s="106"/>
      <c r="AE147" s="106"/>
      <c r="AF147" s="106"/>
      <c r="AG147" s="106"/>
      <c r="AH147" s="106"/>
      <c r="AI147" s="106"/>
      <c r="AJ147" s="106"/>
      <c r="AK147" s="106"/>
    </row>
    <row r="148" s="185" customFormat="1" ht="17.25" customHeight="1">
      <c r="A148" s="254"/>
      <c r="C148" s="185"/>
      <c r="D148" s="275"/>
      <c r="E148" s="276"/>
      <c r="F148" s="266"/>
      <c r="G148" s="1156"/>
      <c r="H148" s="275"/>
      <c r="I148" s="275"/>
      <c r="J148" s="1157"/>
      <c r="K148" s="319"/>
      <c r="L148" s="275"/>
      <c r="M148" s="275"/>
      <c r="N148" s="1158"/>
      <c r="O148" s="221"/>
      <c r="P148" s="1153"/>
      <c r="Q148" s="1154"/>
      <c r="R148" s="1154" t="s">
        <v>405</v>
      </c>
      <c r="S148" s="1159"/>
      <c r="T148" s="1159"/>
      <c r="U148" s="1159"/>
      <c r="V148" s="1159"/>
      <c r="W148" s="1155"/>
      <c r="Y148" s="106"/>
      <c r="Z148" s="106"/>
      <c r="AA148" s="106"/>
      <c r="AB148" s="106"/>
      <c r="AC148" s="106"/>
      <c r="AD148" s="106"/>
      <c r="AE148" s="106"/>
      <c r="AF148" s="106"/>
      <c r="AG148" s="106"/>
      <c r="AH148" s="106"/>
      <c r="AI148" s="106"/>
      <c r="AJ148" s="106"/>
      <c r="AK148" s="106"/>
    </row>
    <row r="149" s="185" customFormat="1" ht="17.25" customHeight="1">
      <c r="A149" s="254"/>
      <c r="C149" s="185"/>
      <c r="D149" s="275"/>
      <c r="E149" s="276"/>
      <c r="F149" s="266"/>
      <c r="G149" s="1156"/>
      <c r="H149" s="275"/>
      <c r="I149" s="275"/>
      <c r="J149" s="1157"/>
      <c r="K149" s="221"/>
      <c r="L149" s="1153"/>
      <c r="M149" s="1154"/>
      <c r="N149" s="1154" t="s">
        <v>406</v>
      </c>
      <c r="O149" s="1154"/>
      <c r="P149" s="1154"/>
      <c r="Q149" s="1154"/>
      <c r="R149" s="1154"/>
      <c r="S149" s="1159"/>
      <c r="T149" s="1159"/>
      <c r="U149" s="1159"/>
      <c r="V149" s="1159"/>
      <c r="W149" s="1155"/>
      <c r="Y149" s="106"/>
      <c r="Z149" s="106"/>
      <c r="AA149" s="106"/>
      <c r="AB149" s="106"/>
      <c r="AC149" s="106"/>
      <c r="AD149" s="106"/>
      <c r="AE149" s="106"/>
      <c r="AF149" s="106"/>
      <c r="AG149" s="106"/>
      <c r="AH149" s="106"/>
      <c r="AI149" s="106"/>
      <c r="AJ149" s="106"/>
      <c r="AK149" s="106"/>
    </row>
    <row r="150" s="185" customFormat="1" ht="17.25" customHeight="1">
      <c r="A150" s="254"/>
      <c r="C150" s="185"/>
      <c r="D150" s="275"/>
      <c r="E150" s="276"/>
      <c r="F150" s="277"/>
      <c r="G150" s="1156"/>
      <c r="H150" s="1153"/>
      <c r="I150" s="1154"/>
      <c r="J150" s="1154" t="s">
        <v>438</v>
      </c>
      <c r="K150" s="1154"/>
      <c r="L150" s="1154"/>
      <c r="M150" s="1154"/>
      <c r="N150" s="1154"/>
      <c r="O150" s="1154"/>
      <c r="P150" s="1154"/>
      <c r="Q150" s="1154"/>
      <c r="R150" s="1154"/>
      <c r="S150" s="1159"/>
      <c r="T150" s="1159"/>
      <c r="U150" s="1159"/>
      <c r="V150" s="1159"/>
      <c r="W150" s="1155"/>
      <c r="Y150" s="106"/>
      <c r="Z150" s="106"/>
      <c r="AA150" s="106"/>
      <c r="AB150" s="106"/>
      <c r="AC150" s="106"/>
      <c r="AD150" s="106"/>
      <c r="AE150" s="106"/>
      <c r="AF150" s="106"/>
      <c r="AG150" s="106"/>
      <c r="AH150" s="106"/>
      <c r="AI150" s="106"/>
      <c r="AJ150" s="106"/>
      <c r="AK150" s="106"/>
    </row>
    <row r="151" ht="17.25" customHeight="1">
      <c r="G151" s="274"/>
      <c r="H151" s="274"/>
      <c r="I151" s="274"/>
    </row>
    <row r="152" s="185" customFormat="1" ht="17.25" customHeight="1">
      <c r="A152" s="254"/>
      <c r="C152" s="127"/>
      <c r="D152" s="1106"/>
      <c r="E152" s="1160"/>
      <c r="F152" s="266"/>
      <c r="G152" s="1161"/>
      <c r="H152" s="251"/>
      <c r="I152" s="251">
        <v>1</v>
      </c>
      <c r="J152" s="383"/>
      <c r="K152" s="313" t="s">
        <v>56</v>
      </c>
      <c r="L152" s="219"/>
      <c r="M152" s="219" t="s">
        <v>111</v>
      </c>
      <c r="N152" s="1152" t="str">
        <f>IF(Z152="","",INDEX(TERRITORY_MR_LIST,MATCH(Z152,TERRITORY_LIST_ID,0)))</f>
        <v/>
      </c>
      <c r="O152" s="313" t="s">
        <v>56</v>
      </c>
      <c r="P152" s="219"/>
      <c r="Q152" s="219" t="s">
        <v>111</v>
      </c>
      <c r="R152" s="357" t="s">
        <v>18</v>
      </c>
      <c r="S152" s="225" t="s">
        <v>56</v>
      </c>
      <c r="T152" s="219"/>
      <c r="U152" s="219" t="s">
        <v>111</v>
      </c>
      <c r="V152" s="357" t="s">
        <v>18</v>
      </c>
      <c r="W152" s="383"/>
      <c r="Y152" s="265"/>
      <c r="Z152" s="265"/>
      <c r="AA152" s="265"/>
      <c r="AB152" s="265"/>
      <c r="AC152" s="265"/>
      <c r="AD152" s="265"/>
      <c r="AE152" s="265"/>
      <c r="AF152" s="265"/>
      <c r="AG152" s="265"/>
      <c r="AH152" s="265"/>
      <c r="AI152" s="265"/>
      <c r="AJ152" s="265"/>
      <c r="AK152" s="265"/>
      <c r="AL152" s="62"/>
      <c r="AM152" s="62"/>
      <c r="AN152" s="265"/>
      <c r="AO152" s="265"/>
      <c r="AP152" s="265"/>
      <c r="AQ152" s="265"/>
    </row>
    <row r="153" s="185" customFormat="1" ht="17.25" customHeight="1">
      <c r="A153" s="254"/>
      <c r="C153" s="185"/>
      <c r="D153" s="1106"/>
      <c r="E153" s="1160"/>
      <c r="F153" s="266"/>
      <c r="G153" s="1161"/>
      <c r="H153" s="251"/>
      <c r="I153" s="251"/>
      <c r="J153" s="383"/>
      <c r="K153" s="319"/>
      <c r="L153" s="219"/>
      <c r="M153" s="219"/>
      <c r="N153" s="1152"/>
      <c r="O153" s="319"/>
      <c r="P153" s="219"/>
      <c r="Q153" s="219"/>
      <c r="R153" s="357"/>
      <c r="S153" s="225"/>
      <c r="T153" s="1153"/>
      <c r="U153" s="1154"/>
      <c r="V153" s="1154" t="s">
        <v>404</v>
      </c>
      <c r="W153" s="1155"/>
      <c r="Y153" s="106"/>
      <c r="Z153" s="106"/>
      <c r="AA153" s="106"/>
      <c r="AB153" s="106"/>
      <c r="AC153" s="106"/>
      <c r="AD153" s="106"/>
      <c r="AE153" s="106"/>
      <c r="AF153" s="106"/>
      <c r="AG153" s="106"/>
      <c r="AH153" s="106"/>
      <c r="AI153" s="106"/>
      <c r="AJ153" s="106"/>
      <c r="AK153" s="106"/>
    </row>
    <row r="154" s="185" customFormat="1" ht="17.25" customHeight="1">
      <c r="A154" s="254"/>
      <c r="C154" s="185"/>
      <c r="D154" s="1106"/>
      <c r="E154" s="1160"/>
      <c r="F154" s="266"/>
      <c r="G154" s="1161"/>
      <c r="H154" s="275"/>
      <c r="I154" s="275"/>
      <c r="J154" s="1157"/>
      <c r="K154" s="319"/>
      <c r="L154" s="275"/>
      <c r="M154" s="275"/>
      <c r="N154" s="1158"/>
      <c r="O154" s="221"/>
      <c r="P154" s="1153"/>
      <c r="Q154" s="1154"/>
      <c r="R154" s="1154" t="s">
        <v>405</v>
      </c>
      <c r="S154" s="1159"/>
      <c r="T154" s="1159"/>
      <c r="U154" s="1159"/>
      <c r="V154" s="1159"/>
      <c r="W154" s="1155"/>
      <c r="Y154" s="106"/>
      <c r="Z154" s="106"/>
      <c r="AA154" s="106"/>
      <c r="AB154" s="106"/>
      <c r="AC154" s="106"/>
      <c r="AD154" s="106"/>
      <c r="AE154" s="106"/>
      <c r="AF154" s="106"/>
      <c r="AG154" s="106"/>
      <c r="AH154" s="106"/>
      <c r="AI154" s="106"/>
      <c r="AJ154" s="106"/>
      <c r="AK154" s="106"/>
    </row>
    <row r="155" s="185" customFormat="1" ht="17.25" customHeight="1">
      <c r="A155" s="254"/>
      <c r="C155" s="185"/>
      <c r="D155" s="1106"/>
      <c r="E155" s="1160"/>
      <c r="F155" s="266"/>
      <c r="G155" s="1161"/>
      <c r="H155" s="275"/>
      <c r="I155" s="275"/>
      <c r="J155" s="1157"/>
      <c r="K155" s="221"/>
      <c r="L155" s="1153"/>
      <c r="M155" s="1154"/>
      <c r="N155" s="1154" t="s">
        <v>406</v>
      </c>
      <c r="O155" s="1154"/>
      <c r="P155" s="1154"/>
      <c r="Q155" s="1154"/>
      <c r="R155" s="1154"/>
      <c r="S155" s="1159"/>
      <c r="T155" s="1159"/>
      <c r="U155" s="1159"/>
      <c r="V155" s="1159"/>
      <c r="W155" s="1155"/>
      <c r="Y155" s="106"/>
      <c r="Z155" s="106"/>
      <c r="AA155" s="106"/>
      <c r="AB155" s="106"/>
      <c r="AC155" s="106"/>
      <c r="AD155" s="106"/>
      <c r="AE155" s="106"/>
      <c r="AF155" s="106"/>
      <c r="AG155" s="106"/>
      <c r="AH155" s="106"/>
      <c r="AI155" s="106"/>
      <c r="AJ155" s="106"/>
      <c r="AK155" s="106"/>
    </row>
    <row r="156" ht="17.25" customHeight="1">
      <c r="G156" s="274"/>
      <c r="H156" s="274"/>
      <c r="I156" s="274"/>
    </row>
    <row r="157" s="185" customFormat="1" ht="17.25" customHeight="1">
      <c r="A157" s="254"/>
      <c r="C157" s="127"/>
      <c r="D157" s="1106"/>
      <c r="E157" s="1160"/>
      <c r="F157" s="266"/>
      <c r="G157" s="1161"/>
      <c r="H157" s="1106"/>
      <c r="I157" s="1106"/>
      <c r="J157" s="1162"/>
      <c r="K157" s="1163"/>
      <c r="L157" s="219"/>
      <c r="M157" s="219" t="s">
        <v>111</v>
      </c>
      <c r="N157" s="1152" t="str">
        <f>IF(Z157="","",INDEX(TERRITORY_MR_LIST,MATCH(Z157,TERRITORY_LIST_ID,0)))</f>
        <v/>
      </c>
      <c r="O157" s="313" t="s">
        <v>56</v>
      </c>
      <c r="P157" s="219"/>
      <c r="Q157" s="219" t="s">
        <v>111</v>
      </c>
      <c r="R157" s="357" t="s">
        <v>18</v>
      </c>
      <c r="S157" s="225" t="s">
        <v>56</v>
      </c>
      <c r="T157" s="219"/>
      <c r="U157" s="219" t="s">
        <v>111</v>
      </c>
      <c r="V157" s="357" t="s">
        <v>18</v>
      </c>
      <c r="W157" s="383"/>
      <c r="Y157" s="265"/>
      <c r="Z157" s="265"/>
      <c r="AA157" s="265"/>
      <c r="AB157" s="265"/>
      <c r="AC157" s="265"/>
      <c r="AD157" s="265"/>
      <c r="AE157" s="265"/>
      <c r="AF157" s="265"/>
      <c r="AG157" s="265"/>
      <c r="AH157" s="265"/>
      <c r="AI157" s="265"/>
      <c r="AJ157" s="265"/>
      <c r="AK157" s="265"/>
      <c r="AL157" s="62"/>
      <c r="AM157" s="62"/>
      <c r="AN157" s="265"/>
      <c r="AO157" s="265"/>
      <c r="AP157" s="265"/>
      <c r="AQ157" s="265"/>
    </row>
    <row r="158" s="185" customFormat="1" ht="17.25" customHeight="1">
      <c r="A158" s="254"/>
      <c r="C158" s="185"/>
      <c r="D158" s="1106"/>
      <c r="E158" s="1160"/>
      <c r="F158" s="266"/>
      <c r="G158" s="1161"/>
      <c r="H158" s="1106"/>
      <c r="I158" s="1106"/>
      <c r="J158" s="1162"/>
      <c r="K158" s="1163"/>
      <c r="L158" s="219"/>
      <c r="M158" s="219"/>
      <c r="N158" s="1152"/>
      <c r="O158" s="319"/>
      <c r="P158" s="219"/>
      <c r="Q158" s="219"/>
      <c r="R158" s="357"/>
      <c r="S158" s="225"/>
      <c r="T158" s="1153"/>
      <c r="U158" s="1154"/>
      <c r="V158" s="1154" t="s">
        <v>404</v>
      </c>
      <c r="W158" s="1155"/>
      <c r="Y158" s="106"/>
      <c r="Z158" s="106"/>
      <c r="AA158" s="106"/>
      <c r="AB158" s="106"/>
      <c r="AC158" s="106"/>
      <c r="AD158" s="106"/>
      <c r="AE158" s="106"/>
      <c r="AF158" s="106"/>
      <c r="AG158" s="106"/>
      <c r="AH158" s="106"/>
      <c r="AI158" s="106"/>
      <c r="AJ158" s="106"/>
      <c r="AK158" s="106"/>
    </row>
    <row r="159" s="185" customFormat="1" ht="17.25" customHeight="1">
      <c r="A159" s="254"/>
      <c r="C159" s="185"/>
      <c r="D159" s="1106"/>
      <c r="E159" s="1160"/>
      <c r="F159" s="266"/>
      <c r="G159" s="1161"/>
      <c r="H159" s="1106"/>
      <c r="I159" s="1106"/>
      <c r="J159" s="1162"/>
      <c r="K159" s="1163"/>
      <c r="L159" s="275"/>
      <c r="M159" s="275"/>
      <c r="N159" s="1158"/>
      <c r="O159" s="221"/>
      <c r="P159" s="1153"/>
      <c r="Q159" s="1154"/>
      <c r="R159" s="1154" t="s">
        <v>405</v>
      </c>
      <c r="S159" s="1159"/>
      <c r="T159" s="1159"/>
      <c r="U159" s="1159"/>
      <c r="V159" s="1159"/>
      <c r="W159" s="1155"/>
      <c r="Y159" s="106"/>
      <c r="Z159" s="106"/>
      <c r="AA159" s="106"/>
      <c r="AB159" s="106"/>
      <c r="AC159" s="106"/>
      <c r="AD159" s="106"/>
      <c r="AE159" s="106"/>
      <c r="AF159" s="106"/>
      <c r="AG159" s="106"/>
      <c r="AH159" s="106"/>
      <c r="AI159" s="106"/>
      <c r="AJ159" s="106"/>
      <c r="AK159" s="106"/>
    </row>
    <row r="160" ht="17.25" customHeight="1">
      <c r="G160" s="274"/>
      <c r="H160" s="274"/>
      <c r="I160" s="274"/>
    </row>
    <row r="161" s="185" customFormat="1" ht="17.25" customHeight="1">
      <c r="A161" s="254"/>
      <c r="C161" s="127"/>
      <c r="D161" s="1106"/>
      <c r="E161" s="1160"/>
      <c r="F161" s="266"/>
      <c r="G161" s="1161"/>
      <c r="H161" s="1106"/>
      <c r="I161" s="1106"/>
      <c r="J161" s="1162"/>
      <c r="K161" s="1163"/>
      <c r="L161" s="1164"/>
      <c r="M161" s="1164"/>
      <c r="N161" s="1165"/>
      <c r="O161" s="319"/>
      <c r="P161" s="219"/>
      <c r="Q161" s="219" t="s">
        <v>111</v>
      </c>
      <c r="R161" s="357" t="s">
        <v>18</v>
      </c>
      <c r="S161" s="225" t="s">
        <v>56</v>
      </c>
      <c r="T161" s="219"/>
      <c r="U161" s="219" t="s">
        <v>111</v>
      </c>
      <c r="V161" s="357" t="s">
        <v>18</v>
      </c>
      <c r="W161" s="383"/>
      <c r="Y161" s="265"/>
      <c r="Z161" s="265"/>
      <c r="AA161" s="265"/>
      <c r="AB161" s="265"/>
      <c r="AC161" s="265"/>
      <c r="AD161" s="265"/>
      <c r="AE161" s="265"/>
      <c r="AF161" s="265"/>
      <c r="AG161" s="265"/>
      <c r="AH161" s="265"/>
      <c r="AI161" s="265"/>
      <c r="AJ161" s="265"/>
      <c r="AK161" s="265"/>
      <c r="AL161" s="62"/>
      <c r="AM161" s="62"/>
      <c r="AN161" s="265"/>
      <c r="AO161" s="265"/>
      <c r="AP161" s="265"/>
      <c r="AQ161" s="265"/>
    </row>
    <row r="162" s="185" customFormat="1" ht="17.25" customHeight="1">
      <c r="A162" s="254"/>
      <c r="C162" s="185"/>
      <c r="D162" s="1106"/>
      <c r="E162" s="1160"/>
      <c r="F162" s="266"/>
      <c r="G162" s="1161"/>
      <c r="H162" s="1106"/>
      <c r="I162" s="1106"/>
      <c r="J162" s="1162"/>
      <c r="K162" s="1163"/>
      <c r="L162" s="1164"/>
      <c r="M162" s="1164"/>
      <c r="N162" s="1165"/>
      <c r="O162" s="319"/>
      <c r="P162" s="219"/>
      <c r="Q162" s="219"/>
      <c r="R162" s="357"/>
      <c r="S162" s="225"/>
      <c r="T162" s="1153"/>
      <c r="U162" s="1154"/>
      <c r="V162" s="1154" t="s">
        <v>404</v>
      </c>
      <c r="W162" s="1155"/>
      <c r="Y162" s="106"/>
      <c r="Z162" s="106"/>
      <c r="AA162" s="106"/>
      <c r="AB162" s="106"/>
      <c r="AC162" s="106"/>
      <c r="AD162" s="106"/>
      <c r="AE162" s="106"/>
      <c r="AF162" s="106"/>
      <c r="AG162" s="106"/>
      <c r="AH162" s="106"/>
      <c r="AI162" s="106"/>
      <c r="AJ162" s="106"/>
      <c r="AK162" s="106"/>
    </row>
    <row r="163" ht="17.25" customHeight="1">
      <c r="G163" s="274"/>
      <c r="H163" s="274"/>
      <c r="I163" s="274"/>
    </row>
    <row r="164" s="185" customFormat="1" ht="17.25" customHeight="1">
      <c r="A164" s="254"/>
      <c r="C164" s="127"/>
      <c r="D164" s="1106"/>
      <c r="E164" s="1160"/>
      <c r="F164" s="266"/>
      <c r="G164" s="1161"/>
      <c r="H164" s="1164"/>
      <c r="I164" s="1164"/>
      <c r="J164" s="1166"/>
      <c r="K164" s="1161"/>
      <c r="L164" s="1164"/>
      <c r="M164" s="1164"/>
      <c r="N164" s="1161"/>
      <c r="O164" s="1161"/>
      <c r="P164" s="1164"/>
      <c r="Q164" s="1164"/>
      <c r="R164" s="1167"/>
      <c r="S164" s="1161"/>
      <c r="T164" s="219"/>
      <c r="U164" s="219" t="s">
        <v>111</v>
      </c>
      <c r="V164" s="357" t="s">
        <v>18</v>
      </c>
      <c r="W164" s="383"/>
      <c r="Y164" s="265"/>
      <c r="Z164" s="265"/>
      <c r="AA164" s="265"/>
      <c r="AB164" s="265"/>
      <c r="AC164" s="265"/>
      <c r="AD164" s="265"/>
      <c r="AE164" s="265"/>
      <c r="AF164" s="265"/>
      <c r="AG164" s="265"/>
      <c r="AH164" s="265"/>
      <c r="AI164" s="265"/>
      <c r="AJ164" s="265"/>
      <c r="AK164" s="265"/>
      <c r="AL164" s="62"/>
      <c r="AM164" s="62"/>
      <c r="AN164" s="265"/>
      <c r="AO164" s="265"/>
      <c r="AP164" s="265"/>
      <c r="AQ164" s="265"/>
    </row>
    <row r="166" s="1030" customFormat="1" ht="17.25" customHeight="1">
      <c r="A166" s="1030" t="s">
        <v>1152</v>
      </c>
    </row>
    <row r="167" ht="17.25" customHeight="1">
      <c r="G167" s="274"/>
      <c r="H167" s="274"/>
      <c r="I167" s="274"/>
    </row>
    <row r="168" s="185" customFormat="1" ht="17.25" customHeight="1">
      <c r="A168" s="254"/>
      <c r="C168" s="127"/>
      <c r="D168" s="251"/>
      <c r="E168" s="256"/>
      <c r="F168" s="257"/>
      <c r="G168" s="1151"/>
      <c r="H168" s="251"/>
      <c r="I168" s="251">
        <v>1</v>
      </c>
      <c r="J168" s="383"/>
      <c r="K168" s="313" t="s">
        <v>56</v>
      </c>
      <c r="L168" s="219"/>
      <c r="M168" s="219" t="s">
        <v>111</v>
      </c>
      <c r="N168" s="1152" t="str">
        <f>IF(Z168="","",INDEX(TERRITORY_MR_LIST,MATCH(Z168,TERRITORY_LIST_ID,0)))</f>
        <v/>
      </c>
      <c r="O168" s="313" t="s">
        <v>56</v>
      </c>
      <c r="P168" s="219"/>
      <c r="Q168" s="219" t="s">
        <v>111</v>
      </c>
      <c r="R168" s="357" t="s">
        <v>18</v>
      </c>
      <c r="S168" s="637" t="s">
        <v>54</v>
      </c>
      <c r="T168" s="637"/>
      <c r="U168" s="637" t="s">
        <v>111</v>
      </c>
      <c r="V168" s="1168"/>
      <c r="W168" s="383"/>
      <c r="Y168" s="265"/>
      <c r="Z168" s="265"/>
      <c r="AA168" s="265"/>
      <c r="AB168" s="265"/>
      <c r="AC168" s="265"/>
      <c r="AD168" s="265"/>
      <c r="AE168" s="265"/>
      <c r="AF168" s="265"/>
      <c r="AG168" s="265"/>
      <c r="AH168" s="265"/>
      <c r="AI168" s="265"/>
      <c r="AJ168" s="265"/>
      <c r="AK168" s="265"/>
      <c r="AL168" s="62"/>
      <c r="AM168" s="62"/>
      <c r="AN168" s="265"/>
      <c r="AO168" s="265"/>
      <c r="AP168" s="265"/>
      <c r="AQ168" s="265"/>
    </row>
    <row r="169" s="185" customFormat="1" ht="17.25" customHeight="1">
      <c r="A169" s="254"/>
      <c r="C169" s="185"/>
      <c r="D169" s="251"/>
      <c r="E169" s="256"/>
      <c r="F169" s="266"/>
      <c r="G169" s="1151"/>
      <c r="H169" s="251"/>
      <c r="I169" s="251"/>
      <c r="J169" s="383"/>
      <c r="K169" s="319"/>
      <c r="L169" s="219"/>
      <c r="M169" s="219"/>
      <c r="N169" s="1152"/>
      <c r="O169" s="319"/>
      <c r="P169" s="219"/>
      <c r="Q169" s="219"/>
      <c r="R169" s="357"/>
      <c r="S169" s="637"/>
      <c r="T169" s="1169"/>
      <c r="U169" s="1170"/>
      <c r="V169" s="1170"/>
      <c r="W169" s="383"/>
      <c r="Y169" s="106"/>
      <c r="Z169" s="106"/>
      <c r="AA169" s="106"/>
      <c r="AB169" s="106"/>
      <c r="AC169" s="106"/>
      <c r="AD169" s="106"/>
      <c r="AE169" s="106"/>
      <c r="AF169" s="106"/>
      <c r="AG169" s="106"/>
      <c r="AH169" s="106"/>
      <c r="AI169" s="106"/>
      <c r="AJ169" s="106"/>
      <c r="AK169" s="106"/>
    </row>
    <row r="170" s="185" customFormat="1" ht="17.25" customHeight="1">
      <c r="A170" s="254"/>
      <c r="C170" s="185"/>
      <c r="D170" s="275"/>
      <c r="E170" s="276"/>
      <c r="F170" s="266"/>
      <c r="G170" s="1156"/>
      <c r="H170" s="275"/>
      <c r="I170" s="275"/>
      <c r="J170" s="1157"/>
      <c r="K170" s="319"/>
      <c r="L170" s="275"/>
      <c r="M170" s="275"/>
      <c r="N170" s="1158"/>
      <c r="O170" s="221"/>
      <c r="P170" s="1153"/>
      <c r="Q170" s="1154"/>
      <c r="R170" s="1154" t="s">
        <v>405</v>
      </c>
      <c r="S170" s="1159"/>
      <c r="T170" s="1159"/>
      <c r="U170" s="1159"/>
      <c r="V170" s="1159"/>
      <c r="W170" s="1171"/>
      <c r="Y170" s="106"/>
      <c r="Z170" s="106"/>
      <c r="AA170" s="106"/>
      <c r="AB170" s="106"/>
      <c r="AC170" s="106"/>
      <c r="AD170" s="106"/>
      <c r="AE170" s="106"/>
      <c r="AF170" s="106"/>
      <c r="AG170" s="106"/>
      <c r="AH170" s="106"/>
      <c r="AI170" s="106"/>
      <c r="AJ170" s="106"/>
      <c r="AK170" s="106"/>
    </row>
    <row r="171" s="185" customFormat="1" ht="17.25" customHeight="1">
      <c r="A171" s="254"/>
      <c r="C171" s="185"/>
      <c r="D171" s="275"/>
      <c r="E171" s="276"/>
      <c r="F171" s="266"/>
      <c r="G171" s="1156"/>
      <c r="H171" s="275"/>
      <c r="I171" s="275"/>
      <c r="J171" s="1157"/>
      <c r="K171" s="221"/>
      <c r="L171" s="1153"/>
      <c r="M171" s="1154"/>
      <c r="N171" s="1154" t="s">
        <v>406</v>
      </c>
      <c r="O171" s="1154"/>
      <c r="P171" s="1154"/>
      <c r="Q171" s="1154"/>
      <c r="R171" s="1154"/>
      <c r="S171" s="1159"/>
      <c r="T171" s="1159"/>
      <c r="U171" s="1159"/>
      <c r="V171" s="1159"/>
      <c r="W171" s="1155"/>
      <c r="Y171" s="106"/>
      <c r="Z171" s="106"/>
      <c r="AA171" s="106"/>
      <c r="AB171" s="106"/>
      <c r="AC171" s="106"/>
      <c r="AD171" s="106"/>
      <c r="AE171" s="106"/>
      <c r="AF171" s="106"/>
      <c r="AG171" s="106"/>
      <c r="AH171" s="106"/>
      <c r="AI171" s="106"/>
      <c r="AJ171" s="106"/>
      <c r="AK171" s="106"/>
    </row>
    <row r="172" s="185" customFormat="1" ht="17.25" customHeight="1">
      <c r="A172" s="254"/>
      <c r="C172" s="185"/>
      <c r="D172" s="275"/>
      <c r="E172" s="276"/>
      <c r="F172" s="277"/>
      <c r="G172" s="1156"/>
      <c r="H172" s="1153"/>
      <c r="I172" s="1154"/>
      <c r="J172" s="1154" t="s">
        <v>438</v>
      </c>
      <c r="K172" s="1154"/>
      <c r="L172" s="1154"/>
      <c r="M172" s="1154"/>
      <c r="N172" s="1154"/>
      <c r="O172" s="1154"/>
      <c r="P172" s="1154"/>
      <c r="Q172" s="1154"/>
      <c r="R172" s="1154"/>
      <c r="S172" s="1159"/>
      <c r="T172" s="1159"/>
      <c r="U172" s="1159"/>
      <c r="V172" s="1159"/>
      <c r="W172" s="1155"/>
      <c r="Y172" s="106"/>
      <c r="Z172" s="106"/>
      <c r="AA172" s="106"/>
      <c r="AB172" s="106"/>
      <c r="AC172" s="106"/>
      <c r="AD172" s="106"/>
      <c r="AE172" s="106"/>
      <c r="AF172" s="106"/>
      <c r="AG172" s="106"/>
      <c r="AH172" s="106"/>
      <c r="AI172" s="106"/>
      <c r="AJ172" s="106"/>
      <c r="AK172" s="106"/>
    </row>
    <row r="173" ht="17.25" customHeight="1"/>
    <row r="174" s="185" customFormat="1" ht="17.25" customHeight="1">
      <c r="A174" s="254"/>
      <c r="C174" s="127"/>
      <c r="D174" s="1106"/>
      <c r="E174" s="1160"/>
      <c r="F174" s="266"/>
      <c r="G174" s="1161"/>
      <c r="H174" s="251"/>
      <c r="I174" s="251">
        <v>1</v>
      </c>
      <c r="J174" s="383"/>
      <c r="K174" s="313" t="s">
        <v>56</v>
      </c>
      <c r="L174" s="219"/>
      <c r="M174" s="219" t="s">
        <v>111</v>
      </c>
      <c r="N174" s="1152" t="str">
        <f>IF(Z174="","",INDEX(TERRITORY_MR_LIST,MATCH(Z174,TERRITORY_LIST_ID,0)))</f>
        <v/>
      </c>
      <c r="O174" s="313" t="s">
        <v>56</v>
      </c>
      <c r="P174" s="219"/>
      <c r="Q174" s="219" t="s">
        <v>111</v>
      </c>
      <c r="R174" s="357" t="s">
        <v>18</v>
      </c>
      <c r="S174" s="637" t="s">
        <v>54</v>
      </c>
      <c r="T174" s="637"/>
      <c r="U174" s="637" t="s">
        <v>111</v>
      </c>
      <c r="V174" s="1168"/>
      <c r="W174" s="383"/>
      <c r="Y174" s="265"/>
      <c r="Z174" s="265"/>
      <c r="AA174" s="265"/>
      <c r="AB174" s="265"/>
      <c r="AC174" s="265"/>
      <c r="AD174" s="265"/>
      <c r="AE174" s="265"/>
      <c r="AF174" s="265"/>
      <c r="AG174" s="265"/>
      <c r="AH174" s="265"/>
      <c r="AI174" s="265"/>
      <c r="AJ174" s="265"/>
      <c r="AK174" s="265"/>
      <c r="AL174" s="62"/>
      <c r="AM174" s="62"/>
      <c r="AN174" s="265"/>
      <c r="AO174" s="265"/>
      <c r="AP174" s="265"/>
      <c r="AQ174" s="265"/>
    </row>
    <row r="175" s="185" customFormat="1" ht="17.25" customHeight="1">
      <c r="A175" s="254"/>
      <c r="C175" s="185"/>
      <c r="D175" s="1106"/>
      <c r="E175" s="1160"/>
      <c r="F175" s="266"/>
      <c r="G175" s="1161"/>
      <c r="H175" s="251"/>
      <c r="I175" s="251"/>
      <c r="J175" s="383"/>
      <c r="K175" s="319"/>
      <c r="L175" s="219"/>
      <c r="M175" s="219"/>
      <c r="N175" s="1152"/>
      <c r="O175" s="319"/>
      <c r="P175" s="219"/>
      <c r="Q175" s="219"/>
      <c r="R175" s="357"/>
      <c r="S175" s="637"/>
      <c r="T175" s="1169"/>
      <c r="U175" s="1170"/>
      <c r="V175" s="1170"/>
      <c r="W175" s="383"/>
      <c r="Y175" s="106"/>
      <c r="Z175" s="106"/>
      <c r="AA175" s="106"/>
      <c r="AB175" s="106"/>
      <c r="AC175" s="106"/>
      <c r="AD175" s="106"/>
      <c r="AE175" s="106"/>
      <c r="AF175" s="106"/>
      <c r="AG175" s="106"/>
      <c r="AH175" s="106"/>
      <c r="AI175" s="106"/>
      <c r="AJ175" s="106"/>
      <c r="AK175" s="106"/>
    </row>
    <row r="176" s="185" customFormat="1" ht="17.25" customHeight="1">
      <c r="A176" s="254"/>
      <c r="C176" s="185"/>
      <c r="D176" s="1106"/>
      <c r="E176" s="1160"/>
      <c r="F176" s="266"/>
      <c r="G176" s="1161"/>
      <c r="H176" s="275"/>
      <c r="I176" s="275"/>
      <c r="J176" s="1157"/>
      <c r="K176" s="319"/>
      <c r="L176" s="275"/>
      <c r="M176" s="275"/>
      <c r="N176" s="1158"/>
      <c r="O176" s="221"/>
      <c r="P176" s="1153"/>
      <c r="Q176" s="1154"/>
      <c r="R176" s="1154" t="s">
        <v>405</v>
      </c>
      <c r="S176" s="1159"/>
      <c r="T176" s="1159"/>
      <c r="U176" s="1159"/>
      <c r="V176" s="1159"/>
      <c r="W176" s="1171"/>
      <c r="Y176" s="106"/>
      <c r="Z176" s="106"/>
      <c r="AA176" s="106"/>
      <c r="AB176" s="106"/>
      <c r="AC176" s="106"/>
      <c r="AD176" s="106"/>
      <c r="AE176" s="106"/>
      <c r="AF176" s="106"/>
      <c r="AG176" s="106"/>
      <c r="AH176" s="106"/>
      <c r="AI176" s="106"/>
      <c r="AJ176" s="106"/>
      <c r="AK176" s="106"/>
    </row>
    <row r="177" s="185" customFormat="1" ht="17.25" customHeight="1">
      <c r="A177" s="254"/>
      <c r="C177" s="185"/>
      <c r="D177" s="1106"/>
      <c r="E177" s="1160"/>
      <c r="F177" s="266"/>
      <c r="G177" s="1161"/>
      <c r="H177" s="275"/>
      <c r="I177" s="275"/>
      <c r="J177" s="1157"/>
      <c r="K177" s="221"/>
      <c r="L177" s="1153"/>
      <c r="M177" s="1154"/>
      <c r="N177" s="1154" t="s">
        <v>406</v>
      </c>
      <c r="O177" s="1154"/>
      <c r="P177" s="1154"/>
      <c r="Q177" s="1154"/>
      <c r="R177" s="1154"/>
      <c r="S177" s="1159"/>
      <c r="T177" s="1159"/>
      <c r="U177" s="1159"/>
      <c r="V177" s="1159"/>
      <c r="W177" s="1155"/>
      <c r="Y177" s="106"/>
      <c r="Z177" s="106"/>
      <c r="AA177" s="106"/>
      <c r="AB177" s="106"/>
      <c r="AC177" s="106"/>
      <c r="AD177" s="106"/>
      <c r="AE177" s="106"/>
      <c r="AF177" s="106"/>
      <c r="AG177" s="106"/>
      <c r="AH177" s="106"/>
      <c r="AI177" s="106"/>
      <c r="AJ177" s="106"/>
      <c r="AK177" s="106"/>
    </row>
    <row r="178" ht="17.25" customHeight="1"/>
    <row r="179" s="185" customFormat="1" ht="17.25" customHeight="1">
      <c r="A179" s="254"/>
      <c r="C179" s="127"/>
      <c r="D179" s="1106"/>
      <c r="E179" s="1160"/>
      <c r="F179" s="266"/>
      <c r="G179" s="1161"/>
      <c r="H179" s="1106"/>
      <c r="I179" s="1106"/>
      <c r="J179" s="1172"/>
      <c r="K179" s="1161"/>
      <c r="L179" s="219"/>
      <c r="M179" s="219" t="s">
        <v>111</v>
      </c>
      <c r="N179" s="1152" t="str">
        <f>IF(Z179="","",INDEX(TERRITORY_MR_LIST,MATCH(Z179,TERRITORY_LIST_ID,0)))</f>
        <v/>
      </c>
      <c r="O179" s="313" t="s">
        <v>56</v>
      </c>
      <c r="P179" s="219"/>
      <c r="Q179" s="219" t="s">
        <v>111</v>
      </c>
      <c r="R179" s="357" t="s">
        <v>18</v>
      </c>
      <c r="S179" s="637" t="s">
        <v>54</v>
      </c>
      <c r="T179" s="637"/>
      <c r="U179" s="637" t="s">
        <v>111</v>
      </c>
      <c r="V179" s="1168"/>
      <c r="W179" s="383"/>
      <c r="Y179" s="265"/>
      <c r="Z179" s="265"/>
      <c r="AA179" s="265"/>
      <c r="AB179" s="265"/>
      <c r="AC179" s="265"/>
      <c r="AD179" s="265"/>
      <c r="AE179" s="265"/>
      <c r="AF179" s="265"/>
      <c r="AG179" s="265"/>
      <c r="AH179" s="265"/>
      <c r="AI179" s="265"/>
      <c r="AJ179" s="265"/>
      <c r="AK179" s="265"/>
      <c r="AL179" s="62"/>
      <c r="AM179" s="62"/>
      <c r="AN179" s="265"/>
      <c r="AO179" s="265"/>
      <c r="AP179" s="265"/>
      <c r="AQ179" s="265"/>
    </row>
    <row r="180" s="185" customFormat="1" ht="17.25" customHeight="1">
      <c r="A180" s="254"/>
      <c r="C180" s="185"/>
      <c r="D180" s="1106"/>
      <c r="E180" s="1160"/>
      <c r="F180" s="266"/>
      <c r="G180" s="1161"/>
      <c r="H180" s="1106"/>
      <c r="I180" s="1106"/>
      <c r="J180" s="1172"/>
      <c r="K180" s="1161"/>
      <c r="L180" s="219"/>
      <c r="M180" s="219"/>
      <c r="N180" s="1152"/>
      <c r="O180" s="319"/>
      <c r="P180" s="219"/>
      <c r="Q180" s="219"/>
      <c r="R180" s="357"/>
      <c r="S180" s="637"/>
      <c r="T180" s="1169"/>
      <c r="U180" s="1170"/>
      <c r="V180" s="1170"/>
      <c r="W180" s="383"/>
      <c r="Y180" s="106"/>
      <c r="Z180" s="106"/>
      <c r="AA180" s="106"/>
      <c r="AB180" s="106"/>
      <c r="AC180" s="106"/>
      <c r="AD180" s="106"/>
      <c r="AE180" s="106"/>
      <c r="AF180" s="106"/>
      <c r="AG180" s="106"/>
      <c r="AH180" s="106"/>
      <c r="AI180" s="106"/>
      <c r="AJ180" s="106"/>
      <c r="AK180" s="106"/>
    </row>
    <row r="181" s="185" customFormat="1" ht="17.25" customHeight="1">
      <c r="A181" s="254"/>
      <c r="C181" s="185"/>
      <c r="D181" s="1106"/>
      <c r="E181" s="1160"/>
      <c r="F181" s="266"/>
      <c r="G181" s="1161"/>
      <c r="H181" s="1106"/>
      <c r="I181" s="1106"/>
      <c r="J181" s="1172"/>
      <c r="K181" s="1161"/>
      <c r="L181" s="275"/>
      <c r="M181" s="275"/>
      <c r="N181" s="1158"/>
      <c r="O181" s="221"/>
      <c r="P181" s="1153"/>
      <c r="Q181" s="1154"/>
      <c r="R181" s="1154" t="s">
        <v>405</v>
      </c>
      <c r="S181" s="1159"/>
      <c r="T181" s="1159"/>
      <c r="U181" s="1159"/>
      <c r="V181" s="1159"/>
      <c r="W181" s="1171"/>
      <c r="Y181" s="106"/>
      <c r="Z181" s="106"/>
      <c r="AA181" s="106"/>
      <c r="AB181" s="106"/>
      <c r="AC181" s="106"/>
      <c r="AD181" s="106"/>
      <c r="AE181" s="106"/>
      <c r="AF181" s="106"/>
      <c r="AG181" s="106"/>
      <c r="AH181" s="106"/>
      <c r="AI181" s="106"/>
      <c r="AJ181" s="106"/>
      <c r="AK181" s="106"/>
    </row>
    <row r="182" ht="17.25" customHeight="1"/>
    <row r="183" s="185" customFormat="1" ht="17.25" customHeight="1">
      <c r="A183" s="254"/>
      <c r="C183" s="127"/>
      <c r="D183" s="1106"/>
      <c r="E183" s="1160"/>
      <c r="F183" s="266"/>
      <c r="G183" s="1161"/>
      <c r="H183" s="1106"/>
      <c r="I183" s="1106"/>
      <c r="J183" s="1172"/>
      <c r="K183" s="1161"/>
      <c r="L183" s="1106"/>
      <c r="M183" s="1106"/>
      <c r="N183" s="1165"/>
      <c r="O183" s="319"/>
      <c r="P183" s="219"/>
      <c r="Q183" s="219" t="s">
        <v>111</v>
      </c>
      <c r="R183" s="357" t="s">
        <v>18</v>
      </c>
      <c r="S183" s="637" t="s">
        <v>54</v>
      </c>
      <c r="T183" s="637"/>
      <c r="U183" s="637" t="s">
        <v>111</v>
      </c>
      <c r="V183" s="1168"/>
      <c r="W183" s="383"/>
      <c r="Y183" s="265"/>
      <c r="Z183" s="265"/>
      <c r="AA183" s="265"/>
      <c r="AB183" s="265"/>
      <c r="AC183" s="265"/>
      <c r="AD183" s="265"/>
      <c r="AE183" s="265"/>
      <c r="AF183" s="265"/>
      <c r="AG183" s="265"/>
      <c r="AH183" s="265"/>
      <c r="AI183" s="265"/>
      <c r="AJ183" s="265"/>
      <c r="AK183" s="265"/>
      <c r="AL183" s="62"/>
      <c r="AM183" s="62"/>
      <c r="AN183" s="265"/>
      <c r="AO183" s="265"/>
      <c r="AP183" s="265"/>
      <c r="AQ183" s="265"/>
    </row>
    <row r="184" s="185" customFormat="1" ht="17.25" customHeight="1">
      <c r="A184" s="254"/>
      <c r="C184" s="185"/>
      <c r="D184" s="1106"/>
      <c r="E184" s="1160"/>
      <c r="F184" s="266"/>
      <c r="G184" s="1161"/>
      <c r="H184" s="1106"/>
      <c r="I184" s="1106"/>
      <c r="J184" s="1172"/>
      <c r="K184" s="1161"/>
      <c r="L184" s="1106"/>
      <c r="M184" s="1106"/>
      <c r="N184" s="1165"/>
      <c r="O184" s="319"/>
      <c r="P184" s="219"/>
      <c r="Q184" s="219"/>
      <c r="R184" s="357"/>
      <c r="S184" s="637"/>
      <c r="T184" s="1169"/>
      <c r="U184" s="1170"/>
      <c r="V184" s="1170"/>
      <c r="W184" s="383"/>
      <c r="Y184" s="106"/>
      <c r="Z184" s="106"/>
      <c r="AA184" s="106"/>
      <c r="AB184" s="106"/>
      <c r="AC184" s="106"/>
      <c r="AD184" s="106"/>
      <c r="AE184" s="106"/>
      <c r="AF184" s="106"/>
      <c r="AG184" s="106"/>
      <c r="AH184" s="106"/>
      <c r="AI184" s="106"/>
      <c r="AJ184" s="106"/>
      <c r="AK184" s="106"/>
    </row>
    <row r="185" ht="17.25" customHeight="1"/>
    <row r="186" ht="16.5" customHeight="1">
      <c r="A186" s="254"/>
      <c r="B186" s="185"/>
      <c r="C186" s="185"/>
      <c r="D186" s="251"/>
      <c r="E186" s="312"/>
      <c r="F186" s="312"/>
      <c r="G186" s="156"/>
      <c r="H186" s="258"/>
      <c r="I186" s="259"/>
      <c r="J186" s="260"/>
      <c r="K186" s="261"/>
      <c r="L186" s="261"/>
      <c r="M186" s="261"/>
      <c r="N186" s="262"/>
      <c r="O186" s="261"/>
      <c r="P186" s="261"/>
      <c r="Q186" s="261"/>
      <c r="R186" s="263"/>
      <c r="S186" s="261"/>
      <c r="T186" s="261"/>
      <c r="U186" s="261"/>
      <c r="V186" s="263"/>
      <c r="W186" s="264"/>
    </row>
    <row r="187" ht="16.5" customHeight="1">
      <c r="A187" s="254"/>
      <c r="B187" s="185"/>
      <c r="C187" s="185"/>
      <c r="D187" s="251"/>
      <c r="E187" s="312"/>
      <c r="F187" s="312"/>
      <c r="G187" s="156"/>
      <c r="H187" s="267"/>
      <c r="I187" s="268"/>
      <c r="J187" s="269"/>
      <c r="K187" s="124"/>
      <c r="L187" s="124"/>
      <c r="M187" s="124"/>
      <c r="N187" s="270"/>
      <c r="O187" s="124"/>
      <c r="P187" s="124"/>
      <c r="Q187" s="124"/>
      <c r="R187" s="271"/>
      <c r="S187" s="124"/>
      <c r="T187" s="272"/>
      <c r="U187" s="272"/>
      <c r="V187" s="272"/>
      <c r="W187" s="273"/>
    </row>
    <row r="188" ht="17.25" customHeight="1">
      <c r="A188" s="254"/>
      <c r="B188" s="185"/>
      <c r="C188" s="185"/>
      <c r="D188" s="251"/>
      <c r="E188" s="312"/>
      <c r="F188" s="312"/>
      <c r="G188" s="156"/>
      <c r="H188" s="267"/>
      <c r="I188" s="268"/>
      <c r="J188" s="274"/>
      <c r="K188" s="124"/>
      <c r="L188" s="124"/>
      <c r="M188" s="124"/>
      <c r="N188" s="271"/>
      <c r="O188" s="124"/>
      <c r="P188" s="124"/>
      <c r="Q188" s="272"/>
      <c r="R188" s="272"/>
      <c r="S188" s="185"/>
      <c r="T188" s="185"/>
      <c r="U188" s="185"/>
      <c r="V188" s="185"/>
      <c r="W188" s="273"/>
    </row>
    <row r="189" ht="17.25" customHeight="1">
      <c r="A189" s="254"/>
      <c r="B189" s="185"/>
      <c r="C189" s="185"/>
      <c r="D189" s="251"/>
      <c r="E189" s="312"/>
      <c r="F189" s="312"/>
      <c r="G189" s="156"/>
      <c r="H189" s="267"/>
      <c r="I189" s="268"/>
      <c r="J189" s="274"/>
      <c r="K189" s="124"/>
      <c r="L189" s="272"/>
      <c r="M189" s="272"/>
      <c r="N189" s="272"/>
      <c r="O189" s="272"/>
      <c r="P189" s="272"/>
      <c r="Q189" s="272"/>
      <c r="R189" s="272"/>
      <c r="S189" s="185"/>
      <c r="T189" s="185"/>
      <c r="U189" s="185"/>
      <c r="V189" s="185"/>
      <c r="W189" s="273"/>
    </row>
    <row r="190" ht="17.25" customHeight="1">
      <c r="A190" s="254"/>
      <c r="B190" s="185"/>
      <c r="C190" s="185"/>
      <c r="D190" s="251"/>
      <c r="E190" s="312"/>
      <c r="F190" s="312"/>
      <c r="G190" s="156"/>
      <c r="H190" s="278"/>
      <c r="I190" s="279"/>
      <c r="J190" s="279"/>
      <c r="K190" s="279"/>
      <c r="L190" s="279"/>
      <c r="M190" s="279"/>
      <c r="N190" s="279"/>
      <c r="O190" s="279"/>
      <c r="P190" s="279"/>
      <c r="Q190" s="279"/>
      <c r="R190" s="279"/>
      <c r="S190" s="280"/>
      <c r="T190" s="280"/>
      <c r="U190" s="280"/>
      <c r="V190" s="280"/>
      <c r="W190" s="281"/>
    </row>
    <row r="192" s="1030" customFormat="1" ht="17.25" customHeight="1">
      <c r="A192" s="1030" t="s">
        <v>1153</v>
      </c>
    </row>
    <row r="193" ht="17.25" customHeight="1">
      <c r="G193" s="274"/>
      <c r="H193" s="274"/>
      <c r="I193" s="274"/>
    </row>
    <row r="194" s="63" customFormat="1" ht="15" customHeight="1">
      <c r="D194" s="1173"/>
      <c r="E194" s="305"/>
      <c r="F194" s="305"/>
      <c r="G194" s="313"/>
      <c r="H194" s="1174"/>
      <c r="I194" s="1175">
        <v>1</v>
      </c>
      <c r="J194" s="383"/>
      <c r="K194" s="975"/>
      <c r="L194" s="313" t="s">
        <v>56</v>
      </c>
      <c r="M194" s="313" t="s">
        <v>56</v>
      </c>
      <c r="N194" s="1174"/>
      <c r="O194" s="219" t="s">
        <v>111</v>
      </c>
      <c r="P194" s="447"/>
      <c r="Q194" s="975"/>
      <c r="R194" s="313" t="s">
        <v>56</v>
      </c>
      <c r="S194" s="313" t="s">
        <v>56</v>
      </c>
      <c r="T194" s="1176"/>
      <c r="U194" s="219" t="s">
        <v>111</v>
      </c>
      <c r="V194" s="1177" t="str">
        <f>IF(AK194="","",INDEX(TERRITORY_MR_LIST,MATCH(AK194,TERRITORY_LIST_ID,0)))</f>
        <v/>
      </c>
      <c r="W194" s="226"/>
      <c r="X194" s="313" t="s">
        <v>56</v>
      </c>
      <c r="Y194" s="313" t="s">
        <v>54</v>
      </c>
      <c r="Z194" s="1174"/>
      <c r="AA194" s="219" t="s">
        <v>111</v>
      </c>
      <c r="AB194" s="1178"/>
      <c r="AC194" s="328"/>
      <c r="AD194" s="313" t="s">
        <v>56</v>
      </c>
      <c r="AE194" s="313" t="s">
        <v>54</v>
      </c>
      <c r="AF194" s="226"/>
      <c r="AG194" s="219" t="s">
        <v>111</v>
      </c>
      <c r="AH194" s="1107"/>
      <c r="AI194" s="383"/>
    </row>
    <row r="195" s="63" customFormat="1" ht="15" customHeight="1">
      <c r="D195" s="1173"/>
      <c r="E195" s="305"/>
      <c r="F195" s="305"/>
      <c r="G195" s="319"/>
      <c r="H195" s="1174"/>
      <c r="I195" s="1175"/>
      <c r="J195" s="383"/>
      <c r="K195" s="1179"/>
      <c r="L195" s="319"/>
      <c r="M195" s="319"/>
      <c r="N195" s="1174"/>
      <c r="O195" s="219"/>
      <c r="P195" s="447"/>
      <c r="Q195" s="1180"/>
      <c r="R195" s="319"/>
      <c r="S195" s="319"/>
      <c r="T195" s="1176"/>
      <c r="U195" s="219"/>
      <c r="V195" s="1181"/>
      <c r="W195" s="1129"/>
      <c r="X195" s="319"/>
      <c r="Y195" s="319"/>
      <c r="Z195" s="1174"/>
      <c r="AA195" s="219"/>
      <c r="AB195" s="1024"/>
      <c r="AC195" s="772"/>
      <c r="AD195" s="221"/>
      <c r="AE195" s="221"/>
      <c r="AF195" s="1182"/>
      <c r="AG195" s="1153"/>
      <c r="AH195" s="1154" t="s">
        <v>1154</v>
      </c>
      <c r="AI195" s="1155"/>
    </row>
    <row r="196" s="63" customFormat="1" ht="15" customHeight="1">
      <c r="D196" s="1173"/>
      <c r="E196" s="305"/>
      <c r="F196" s="305"/>
      <c r="G196" s="319"/>
      <c r="H196" s="1174"/>
      <c r="I196" s="1175"/>
      <c r="J196" s="383"/>
      <c r="K196" s="1179"/>
      <c r="L196" s="319"/>
      <c r="M196" s="319"/>
      <c r="N196" s="1174"/>
      <c r="O196" s="219"/>
      <c r="P196" s="447"/>
      <c r="Q196" s="1180"/>
      <c r="R196" s="319"/>
      <c r="S196" s="319"/>
      <c r="T196" s="1176"/>
      <c r="U196" s="219"/>
      <c r="V196" s="1181"/>
      <c r="W196" s="1129"/>
      <c r="X196" s="319"/>
      <c r="Y196" s="319"/>
      <c r="Z196" s="1129"/>
      <c r="AA196" s="1183"/>
      <c r="AB196" s="1184" t="s">
        <v>1155</v>
      </c>
      <c r="AC196" s="1184"/>
      <c r="AD196" s="1184"/>
      <c r="AE196" s="1184"/>
      <c r="AF196" s="1184"/>
      <c r="AG196" s="1184"/>
      <c r="AH196" s="1184"/>
      <c r="AI196" s="1185"/>
    </row>
    <row r="197" s="63" customFormat="1" ht="15" customHeight="1">
      <c r="D197" s="1173"/>
      <c r="E197" s="305"/>
      <c r="F197" s="305"/>
      <c r="G197" s="319"/>
      <c r="H197" s="1174"/>
      <c r="I197" s="1175"/>
      <c r="J197" s="383"/>
      <c r="K197" s="1179"/>
      <c r="L197" s="319"/>
      <c r="M197" s="319"/>
      <c r="N197" s="1174"/>
      <c r="O197" s="219"/>
      <c r="P197" s="1186"/>
      <c r="Q197" s="1180"/>
      <c r="R197" s="319"/>
      <c r="S197" s="319"/>
      <c r="T197" s="1187"/>
      <c r="U197" s="1188"/>
      <c r="V197" s="1154" t="s">
        <v>105</v>
      </c>
      <c r="W197" s="1154"/>
      <c r="X197" s="1154"/>
      <c r="Y197" s="1154"/>
      <c r="Z197" s="1154"/>
      <c r="AA197" s="1154"/>
      <c r="AB197" s="1154"/>
      <c r="AC197" s="1154"/>
      <c r="AD197" s="1154"/>
      <c r="AE197" s="1154"/>
      <c r="AF197" s="1154"/>
      <c r="AG197" s="1154"/>
      <c r="AH197" s="1154"/>
      <c r="AI197" s="1155"/>
    </row>
    <row r="198" s="63" customFormat="1" ht="11.25" customHeight="1">
      <c r="D198" s="1173"/>
      <c r="E198" s="305"/>
      <c r="F198" s="305"/>
      <c r="G198" s="319"/>
      <c r="H198" s="1164"/>
      <c r="I198" s="1175"/>
      <c r="J198" s="1189"/>
      <c r="K198" s="1179"/>
      <c r="L198" s="319"/>
      <c r="M198" s="319"/>
      <c r="N198" s="1164"/>
      <c r="O198" s="1183"/>
      <c r="P198" s="1154" t="s">
        <v>1156</v>
      </c>
      <c r="Q198" s="1154"/>
      <c r="R198" s="1154"/>
      <c r="S198" s="1154"/>
      <c r="T198" s="1154"/>
      <c r="U198" s="1154"/>
      <c r="V198" s="1154"/>
      <c r="W198" s="1154"/>
      <c r="X198" s="1154"/>
      <c r="Y198" s="1154"/>
      <c r="Z198" s="1154"/>
      <c r="AA198" s="1154"/>
      <c r="AB198" s="1154"/>
      <c r="AC198" s="1154"/>
      <c r="AD198" s="1154"/>
      <c r="AE198" s="1154"/>
      <c r="AF198" s="1154"/>
      <c r="AG198" s="1154"/>
      <c r="AH198" s="1154"/>
      <c r="AI198" s="1155"/>
    </row>
    <row r="199" s="296" customFormat="1" ht="11.25" customHeight="1">
      <c r="D199" s="1173"/>
      <c r="E199" s="305"/>
      <c r="F199" s="305"/>
      <c r="G199" s="221"/>
      <c r="H199" s="1190"/>
      <c r="I199" s="1191"/>
      <c r="J199" s="1154" t="s">
        <v>438</v>
      </c>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5"/>
    </row>
    <row r="200" ht="17.25" customHeight="1">
      <c r="G200" s="274"/>
      <c r="I200" s="274"/>
      <c r="J200" s="274"/>
    </row>
    <row r="201" s="63" customFormat="1" ht="15" customHeight="1">
      <c r="D201" s="1173"/>
      <c r="E201" s="305"/>
      <c r="F201" s="305"/>
      <c r="G201" s="312"/>
      <c r="H201" s="314"/>
      <c r="I201" s="315"/>
      <c r="J201" s="260"/>
      <c r="K201" s="260"/>
      <c r="L201" s="261"/>
      <c r="M201" s="261"/>
      <c r="N201" s="316"/>
      <c r="O201" s="261"/>
      <c r="P201" s="260"/>
      <c r="Q201" s="260"/>
      <c r="R201" s="261"/>
      <c r="S201" s="261"/>
      <c r="T201" s="317"/>
      <c r="U201" s="261"/>
      <c r="V201" s="260"/>
      <c r="W201" s="261"/>
      <c r="X201" s="261"/>
      <c r="Y201" s="261"/>
      <c r="Z201" s="316"/>
      <c r="AA201" s="261"/>
      <c r="AB201" s="260"/>
      <c r="AC201" s="318"/>
      <c r="AD201" s="261"/>
      <c r="AE201" s="261"/>
      <c r="AF201" s="261"/>
      <c r="AG201" s="261"/>
      <c r="AH201" s="316"/>
      <c r="AI201" s="264"/>
    </row>
    <row r="202" s="63" customFormat="1" ht="15" customHeight="1">
      <c r="D202" s="1173"/>
      <c r="E202" s="305"/>
      <c r="F202" s="305"/>
      <c r="G202" s="312"/>
      <c r="H202" s="320"/>
      <c r="I202" s="321"/>
      <c r="J202" s="269"/>
      <c r="K202" s="322"/>
      <c r="L202" s="124"/>
      <c r="M202" s="124"/>
      <c r="N202" s="60"/>
      <c r="O202" s="124"/>
      <c r="P202" s="269"/>
      <c r="Q202" s="269"/>
      <c r="R202" s="124"/>
      <c r="S202" s="124"/>
      <c r="T202" s="323"/>
      <c r="U202" s="124"/>
      <c r="V202" s="269"/>
      <c r="W202" s="124"/>
      <c r="X202" s="124"/>
      <c r="Y202" s="124"/>
      <c r="Z202" s="60"/>
      <c r="AA202" s="124"/>
      <c r="AB202" s="269"/>
      <c r="AC202" s="322"/>
      <c r="AD202" s="124"/>
      <c r="AE202" s="124"/>
      <c r="AF202" s="272"/>
      <c r="AG202" s="272"/>
      <c r="AH202" s="272"/>
      <c r="AI202" s="273"/>
    </row>
    <row r="203" s="63" customFormat="1" ht="15" customHeight="1">
      <c r="D203" s="1173"/>
      <c r="E203" s="305"/>
      <c r="F203" s="305"/>
      <c r="G203" s="312"/>
      <c r="H203" s="320"/>
      <c r="I203" s="321"/>
      <c r="J203" s="269"/>
      <c r="K203" s="322"/>
      <c r="L203" s="124"/>
      <c r="M203" s="124"/>
      <c r="N203" s="60"/>
      <c r="O203" s="124"/>
      <c r="P203" s="269"/>
      <c r="Q203" s="269"/>
      <c r="R203" s="124"/>
      <c r="S203" s="124"/>
      <c r="T203" s="323"/>
      <c r="U203" s="124"/>
      <c r="V203" s="269"/>
      <c r="W203" s="124"/>
      <c r="X203" s="124"/>
      <c r="Y203" s="124"/>
      <c r="Z203" s="124"/>
      <c r="AA203" s="272"/>
      <c r="AB203" s="272"/>
      <c r="AC203" s="272"/>
      <c r="AD203" s="272"/>
      <c r="AE203" s="272"/>
      <c r="AF203" s="272"/>
      <c r="AG203" s="272"/>
      <c r="AH203" s="272"/>
      <c r="AI203" s="273"/>
    </row>
    <row r="204" s="63" customFormat="1" ht="15" customHeight="1">
      <c r="D204" s="1173"/>
      <c r="E204" s="305"/>
      <c r="F204" s="305"/>
      <c r="G204" s="312"/>
      <c r="H204" s="320"/>
      <c r="I204" s="321"/>
      <c r="J204" s="269"/>
      <c r="K204" s="322"/>
      <c r="L204" s="124"/>
      <c r="M204" s="124"/>
      <c r="N204" s="60"/>
      <c r="O204" s="124"/>
      <c r="P204" s="269"/>
      <c r="Q204" s="269"/>
      <c r="R204" s="124"/>
      <c r="S204" s="124"/>
      <c r="T204" s="324"/>
      <c r="U204" s="325"/>
      <c r="V204" s="272"/>
      <c r="W204" s="272"/>
      <c r="X204" s="272"/>
      <c r="Y204" s="272"/>
      <c r="Z204" s="272"/>
      <c r="AA204" s="272"/>
      <c r="AB204" s="272"/>
      <c r="AC204" s="272"/>
      <c r="AD204" s="272"/>
      <c r="AE204" s="272"/>
      <c r="AF204" s="272"/>
      <c r="AG204" s="272"/>
      <c r="AH204" s="272"/>
      <c r="AI204" s="273"/>
    </row>
    <row r="205" s="63" customFormat="1" ht="11.25" customHeight="1">
      <c r="D205" s="1173"/>
      <c r="E205" s="305"/>
      <c r="F205" s="305"/>
      <c r="G205" s="312"/>
      <c r="H205" s="326"/>
      <c r="I205" s="321"/>
      <c r="J205" s="269"/>
      <c r="K205" s="322"/>
      <c r="L205" s="124"/>
      <c r="M205" s="124"/>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3"/>
    </row>
    <row r="206" s="296" customFormat="1" ht="11.25" customHeight="1">
      <c r="D206" s="1173"/>
      <c r="E206" s="305"/>
      <c r="F206" s="305"/>
      <c r="G206" s="332"/>
      <c r="H206" s="330"/>
      <c r="I206" s="331"/>
      <c r="J206" s="279"/>
      <c r="K206" s="279"/>
      <c r="L206" s="279"/>
      <c r="M206" s="279"/>
      <c r="N206" s="279"/>
      <c r="O206" s="279"/>
      <c r="P206" s="279"/>
      <c r="Q206" s="279"/>
      <c r="R206" s="279"/>
      <c r="S206" s="279"/>
      <c r="T206" s="279"/>
      <c r="U206" s="279"/>
      <c r="V206" s="279"/>
      <c r="W206" s="279"/>
      <c r="X206" s="279"/>
      <c r="Y206" s="279"/>
      <c r="Z206" s="279"/>
      <c r="AA206" s="279"/>
      <c r="AB206" s="279"/>
      <c r="AC206" s="279"/>
      <c r="AD206" s="279"/>
      <c r="AE206" s="279"/>
      <c r="AF206" s="279"/>
      <c r="AG206" s="279"/>
      <c r="AH206" s="279"/>
      <c r="AI206" s="281"/>
    </row>
    <row r="207" ht="17.25" customHeight="1"/>
  </sheetData>
  <sheetProtection autoFilter="0" deleteColumns="0" deleteRows="0" formatCells="1" formatColumns="0" formatRows="0" insertColumns="1" insertHyperlinks="1" insertRows="0" pivotTables="1" selectLockedCells="0" selectUnlockedCells="0" sheet="0" sort="0"/>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7" disablePrompts="0">
    <dataValidation sqref="N146:N148 N168:N170 N152:N154 N157:N159 N161:N162 N174:N176 N179:N181 N183:N184"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G64 G69" type="none" allowBlank="1" errorStyle="stop" imeMode="noControl" operator="between" prompt="Для выбора ИП необходимо два раза нажать левую кнопку мыши!" promptTitle="Ввод" showDropDown="0" showErrorMessage="1" showInputMessage="1"/>
    <dataValidation sqref="F5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J48" type="none" allowBlank="1" errorStyle="stop" imeMode="noControl" operator="between" prompt="Изменение значения по двойному щелчоку левой кнопки мыши" showDropDown="0" showErrorMessage="1" showInputMessage="1"/>
    <dataValidation sqref="G157:G159 G164 G146:G150 G183:G184 G152:G155 G168:G172 G174:G177 G179:G181 G161:G162"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G56 T64 I64:J64 X64 T69 I69:J69 X6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K186:K187 O186:O187 S146:S147 S186:S187 O146 K146 F157:F159 S168:S169 O168 K168 F164 K152 S152:S153 O152 F146:F150 K157 S157:S158 O157 O183 K161 S161:S162 O161 F152:F155 K174 S174:S175 O174 F168:F172 F174:F177 S179:S180 O179 F179:F181 F183:F184 S183:S184 F161:F16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75" right="0.75" top="1" bottom="1" header="0.5" footer="0.5"/>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2" disablePrompts="0">
        <x14:dataValidation xr:uid="{000E0085-004C-4EDF-AF05-000F005B0030}"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AC194 AC201</xm:sqref>
        </x14:dataValidation>
        <x14:dataValidation xr:uid="{006F0056-00C4-49A3-BEA1-008400D200C6}" type="list" allowBlank="1" error="Выберите значение из списка" errorStyle="stop" errorTitle="Ошибка" imeMode="noControl" operator="between" prompt="Выберите значение из списка" showDropDown="0" showErrorMessage="1" showInputMessage="1">
          <x14:formula1>
            <xm:f>QRE_METHOD_LIST</xm:f>
          </x14:formula1>
          <xm:sqref>H102</xm:sqref>
        </x14:dataValidation>
        <x14:dataValidation xr:uid="{009000ED-0086-4374-A564-0087008F00AB}"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J132:J133 J139:J140 J142</xm:sqref>
        </x14:dataValidation>
        <x14:dataValidation xr:uid="{002F00E1-008B-4C81-9569-00E6007A0012}"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AF83:AF85 AI83:AI85 AF93:AF97 AI93:AI97 AF89 AI89 AF74:AF78 AI74:AI78 N52 P52 U52:V52 Y52:Z52 J52 R52:S52 AC52</xm:sqref>
        </x14:dataValidation>
        <x14:dataValidation xr:uid="{002F00BC-00CF-4D49-88B0-0020003D0043}"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L52</xm:sqref>
        </x14:dataValidation>
        <x14:dataValidation xr:uid="{0014007B-00D2-4F24-B39E-00E900C80017}" type="list" allowBlank="1" errorStyle="stop" imeMode="noControl" operator="between" showDropDown="0" showErrorMessage="1" showInputMessage="1">
          <x14:formula1>
            <xm:f>DESCRIPTION_TERRITORY</xm:f>
          </x14:formula1>
          <xm:sqref>I34</xm:sqref>
        </x14:dataValidation>
        <x14:dataValidation xr:uid="{00880011-001A-44B8-877B-00A900CB007F}" type="textLength" allowBlank="1" error="Допускается ввод не более 900 символов!" errorStyle="stop" imeMode="noControl" operator="lessThan" showDropDown="0" showErrorMessage="1" showInputMessage="1">
          <x14:formula1>
            <xm:f>900</xm:f>
          </x14:formula1>
          <xm:sqref>M29 M23</xm:sqref>
        </x14:dataValidation>
        <x14:dataValidation xr:uid="{00D800E5-00AE-4285-84F1-00FD003F00FE}"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F39 I74:J77 K64 K69 I89:J89 I93:J96</xm:sqref>
        </x14:dataValidation>
        <x14:dataValidation xr:uid="{0077004F-009D-475A-9E8E-003500DE002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Мониторинг&quot;." showDropDown="0" showErrorMessage="1" showInputMessage="1">
          <x14:formula1>
            <xm:f>900</xm:f>
          </x14:formula1>
          <xm:sqref>K48 H56 F60</xm:sqref>
        </x14:dataValidation>
        <x14:dataValidation xr:uid="{007A0020-0075-44DD-AB49-00D400A60030}"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N186:N188</xm:sqref>
        </x14:dataValidation>
        <x14:dataValidation xr:uid="{001B0017-00CD-4808-A8F9-0013005A004D}"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Q139 O139 O142 Q142 Q132 O132 AC76 AE76 AC84 AE84 AE89 AE95 AC95 AC89 T52 H52:I52 AB52 X52 K52 M52 O52 Q52</xm:sqref>
        </x14:dataValidation>
        <x14:dataValidation xr:uid="{0037006C-00BC-41A6-8ED9-005E00010056}" type="textLength" allowBlank="1" error="Допускается ввод не более 900 символов!" errorStyle="stop" errorTitle="Ошибка" imeMode="noControl" operator="lessThanOrEqual" showDropDown="0" showErrorMessage="1" showInputMessage="1">
          <x14:formula1>
            <xm:f>900</xm:f>
          </x14:formula1>
          <xm: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910" width="32.57421875"/>
    <col customWidth="1" min="2" max="2" style="63" width="11.00390625"/>
    <col min="3" max="3" style="63" width="9.140625"/>
    <col customWidth="1" min="4" max="4" style="63" width="26.57421875"/>
    <col customWidth="1" min="5" max="5" style="142" width="27.7109375"/>
    <col customWidth="1" min="6" max="6" style="142" width="23.57421875"/>
    <col customWidth="1" min="7" max="7" style="142" width="31.421875"/>
    <col customWidth="1" min="8" max="8" style="142" width="40.8515625"/>
    <col customWidth="1" min="9" max="9" style="142" width="14.57421875"/>
    <col customWidth="1" min="10" max="10" style="142" width="26.8515625"/>
    <col customWidth="1" min="11" max="11" style="142" width="50.00390625"/>
    <col customWidth="1" min="12" max="12" style="142" width="52.421875"/>
    <col customWidth="1" min="13" max="13" style="142" width="10.7109375"/>
    <col customWidth="1" min="14" max="14" style="142" width="55.140625"/>
    <col customWidth="1" min="15" max="15" style="142" width="31.8515625"/>
    <col customWidth="1" min="16" max="16" style="142" width="23.8515625"/>
    <col customWidth="1" min="17" max="17" style="142" width="46.57421875"/>
    <col customWidth="1" min="18" max="18" style="142" width="24.00390625"/>
    <col customWidth="1" min="19" max="19" style="142" width="20.57421875"/>
    <col customWidth="1" min="20" max="20" style="142" width="22.00390625"/>
    <col customWidth="1" min="21" max="22" style="142" width="26.421875"/>
    <col customWidth="1" hidden="1" min="23" max="23" style="142" width="8.28125"/>
    <col customWidth="1" min="24" max="24" style="142" width="59.7109375"/>
    <col customWidth="1" min="25" max="25" style="142" width="49.140625"/>
    <col customWidth="1" min="26" max="26" style="142" width="11.140625"/>
    <col customWidth="1" min="27" max="30" style="142" width="29.00390625"/>
    <col min="31" max="31" style="142" width="9.140625"/>
    <col customWidth="1" min="32" max="32" style="142" width="34.7109375"/>
    <col min="33" max="33" style="142" width="9.140625"/>
    <col customWidth="1" min="34" max="35" style="142" width="34.421875"/>
    <col min="36" max="36" style="142" width="9.140625"/>
    <col customWidth="1" min="37" max="37" style="142" width="24.57421875"/>
    <col min="38" max="38" style="142" width="9.140625"/>
    <col customWidth="1" min="39" max="39" style="142" width="26.140625"/>
    <col customWidth="1" min="40" max="40" style="142" width="1.7109375"/>
    <col min="41" max="41" style="142" width="9.140625"/>
    <col customWidth="1" min="42" max="43" style="142" width="47.8515625"/>
    <col customWidth="1" min="44" max="44" style="142" width="1.7109375"/>
    <col customWidth="1" min="45" max="45" style="142" width="21.421875"/>
    <col customWidth="1" min="46" max="46" style="142" width="1.7109375"/>
    <col customWidth="1" min="47" max="47" style="142" width="31.28125"/>
    <col customWidth="1" min="48" max="48" style="142" width="1.7109375"/>
    <col min="49" max="50" style="142" width="9.140625"/>
    <col customWidth="1" min="51" max="51" style="142" width="3.7109375"/>
    <col customWidth="1" min="52" max="52" style="142" width="55.00390625"/>
    <col min="53" max="53" style="142" width="9.140625"/>
    <col customWidth="1" min="54" max="54" style="142" width="35.140625"/>
    <col min="55" max="55" style="142" width="9.140625"/>
    <col customWidth="1" min="56" max="56" style="142" width="1.7109375"/>
    <col customWidth="1" min="57" max="57" style="1192" width="12.57421875"/>
    <col customWidth="1" min="58" max="58" style="1192" width="14.28125"/>
    <col customWidth="1" min="59" max="59" style="142" width="30.7109375"/>
    <col customWidth="1" min="60" max="60" style="254" width="40.7109375"/>
    <col customWidth="1" min="61" max="61" style="254" width="15.00390625"/>
    <col customWidth="1" min="62" max="62" style="254" width="40.7109375"/>
    <col customWidth="1" min="63" max="63" style="254" width="2.7109375"/>
    <col customWidth="1" min="64" max="64" style="254" width="44.7109375"/>
    <col customWidth="1" min="65" max="65" style="254" width="2.7109375"/>
    <col customWidth="1" min="66" max="66" style="254" width="40.7109375"/>
    <col min="67" max="68" style="142" width="9.140625"/>
    <col customWidth="1" min="69" max="69" style="142" width="18.140625"/>
    <col customWidth="1" min="70" max="70" style="142" width="57.8515625"/>
    <col customWidth="1" min="71" max="71" style="142" width="1.7109375"/>
    <col customWidth="1" min="72" max="72" style="142" width="22.57421875"/>
    <col customWidth="1" min="73" max="73" style="142" width="57.8515625"/>
    <col customWidth="1" min="74" max="74" style="142" width="1.7109375"/>
    <col customWidth="1" min="75" max="75" style="142" width="22.57421875"/>
    <col customWidth="1" min="76" max="76" style="142" width="57.8515625"/>
    <col customWidth="1" min="77" max="77" style="142" width="1.7109375"/>
    <col customWidth="1" min="78" max="78" style="142" width="22.57421875"/>
    <col customWidth="1" min="79" max="79" style="142" width="57.8515625"/>
    <col min="80" max="81" style="142" width="9.140625"/>
    <col customWidth="1" min="82" max="82" style="142" width="49.57421875"/>
  </cols>
  <sheetData>
    <row r="1" s="1193" customFormat="1" ht="11.25" customHeight="1">
      <c r="A1" s="1194" t="s">
        <v>1157</v>
      </c>
      <c r="B1" s="1194" t="s">
        <v>1158</v>
      </c>
      <c r="C1" s="1194" t="s">
        <v>1159</v>
      </c>
      <c r="D1" s="1194" t="s">
        <v>1160</v>
      </c>
      <c r="E1" s="1194" t="s">
        <v>1161</v>
      </c>
      <c r="F1" s="1194" t="s">
        <v>1162</v>
      </c>
      <c r="G1" s="1194" t="s">
        <v>1163</v>
      </c>
      <c r="H1" s="1194" t="s">
        <v>1164</v>
      </c>
      <c r="I1" s="1194" t="s">
        <v>1165</v>
      </c>
      <c r="J1" s="1194" t="s">
        <v>1166</v>
      </c>
      <c r="K1" s="1194" t="s">
        <v>1167</v>
      </c>
      <c r="L1" s="1194" t="s">
        <v>1168</v>
      </c>
      <c r="M1" s="1194"/>
      <c r="N1" s="1194" t="s">
        <v>1169</v>
      </c>
      <c r="O1" s="1194" t="s">
        <v>1170</v>
      </c>
      <c r="P1" s="1194" t="s">
        <v>1171</v>
      </c>
      <c r="Q1" s="1194" t="s">
        <v>1172</v>
      </c>
      <c r="R1" s="1194" t="s">
        <v>1173</v>
      </c>
      <c r="S1" s="1194" t="s">
        <v>1174</v>
      </c>
      <c r="T1" s="1194" t="s">
        <v>1175</v>
      </c>
      <c r="U1" s="1194" t="s">
        <v>1176</v>
      </c>
      <c r="V1" s="1194"/>
      <c r="W1" s="1195" t="s">
        <v>1177</v>
      </c>
      <c r="X1" s="1194" t="s">
        <v>1178</v>
      </c>
      <c r="Y1" s="1194" t="s">
        <v>1179</v>
      </c>
      <c r="Z1" s="1194"/>
      <c r="AA1" s="1194" t="s">
        <v>1180</v>
      </c>
      <c r="AB1" s="1194"/>
      <c r="AC1" s="1194" t="s">
        <v>1181</v>
      </c>
      <c r="AD1" s="1194"/>
      <c r="AF1" s="1194" t="s">
        <v>1182</v>
      </c>
      <c r="AH1" s="1194" t="s">
        <v>1183</v>
      </c>
      <c r="AI1" s="1194" t="s">
        <v>1184</v>
      </c>
      <c r="AK1" s="1194" t="s">
        <v>1185</v>
      </c>
      <c r="AM1" s="1194" t="s">
        <v>1186</v>
      </c>
      <c r="AP1" s="1194" t="s">
        <v>1187</v>
      </c>
      <c r="AQ1" s="1194" t="s">
        <v>1188</v>
      </c>
      <c r="AS1" s="1194" t="s">
        <v>1189</v>
      </c>
      <c r="AU1" s="1194" t="s">
        <v>1190</v>
      </c>
      <c r="AW1" s="1194" t="s">
        <v>1191</v>
      </c>
      <c r="AX1" s="1194" t="s">
        <v>1192</v>
      </c>
      <c r="AZ1" s="1196" t="s">
        <v>1193</v>
      </c>
      <c r="BB1" s="1194" t="s">
        <v>1194</v>
      </c>
      <c r="BC1" s="1194"/>
      <c r="BE1" s="1194" t="s">
        <v>1195</v>
      </c>
      <c r="BF1" s="1194" t="s">
        <v>1196</v>
      </c>
      <c r="BH1" s="1197" t="s">
        <v>704</v>
      </c>
      <c r="BI1" s="254"/>
      <c r="BJ1" s="1198" t="s">
        <v>1197</v>
      </c>
      <c r="BK1" s="254"/>
      <c r="BL1" s="1199" t="s">
        <v>802</v>
      </c>
      <c r="BM1" s="254"/>
      <c r="BN1" s="1200" t="s">
        <v>1198</v>
      </c>
      <c r="BS1" s="1193"/>
    </row>
    <row r="2" ht="11.25" customHeight="1">
      <c r="A2" s="142" t="s">
        <v>1199</v>
      </c>
      <c r="B2" s="1201">
        <v>2000</v>
      </c>
      <c r="C2" s="1201">
        <v>2022</v>
      </c>
      <c r="D2" s="1201" t="s">
        <v>56</v>
      </c>
      <c r="E2" s="1202" t="s">
        <v>1200</v>
      </c>
      <c r="F2" s="1202" t="s">
        <v>1201</v>
      </c>
      <c r="G2" s="1202" t="s">
        <v>1202</v>
      </c>
      <c r="H2" s="1202" t="s">
        <v>52</v>
      </c>
      <c r="I2" s="1202" t="s">
        <v>111</v>
      </c>
      <c r="J2" s="1202" t="s">
        <v>1203</v>
      </c>
      <c r="K2" s="1203" t="s">
        <v>1204</v>
      </c>
      <c r="L2" s="1203"/>
      <c r="M2" s="1203">
        <v>1</v>
      </c>
      <c r="N2" s="1204" t="s">
        <v>1205</v>
      </c>
      <c r="O2" s="1202" t="s">
        <v>1206</v>
      </c>
      <c r="P2" s="1205" t="s">
        <v>34</v>
      </c>
      <c r="Q2" s="1206" t="s">
        <v>1207</v>
      </c>
      <c r="R2" s="1207" t="s">
        <v>1208</v>
      </c>
      <c r="S2" s="1207" t="s">
        <v>1209</v>
      </c>
      <c r="T2" s="1208" t="s">
        <v>1210</v>
      </c>
      <c r="U2" s="1203" t="s">
        <v>1211</v>
      </c>
      <c r="V2" s="1209">
        <v>1</v>
      </c>
      <c r="W2" s="1210"/>
      <c r="X2" s="1210" t="s">
        <v>1212</v>
      </c>
      <c r="Y2" s="1201" t="s">
        <v>1213</v>
      </c>
      <c r="Z2" s="1211"/>
      <c r="AA2" s="1201" t="s">
        <v>1214</v>
      </c>
      <c r="AB2" s="1212" t="s">
        <v>1214</v>
      </c>
      <c r="AC2" s="1201" t="s">
        <v>1215</v>
      </c>
      <c r="AD2" s="1212" t="s">
        <v>1215</v>
      </c>
      <c r="AF2" s="1202" t="s">
        <v>1211</v>
      </c>
      <c r="AH2" s="1202" t="s">
        <v>1216</v>
      </c>
      <c r="AI2" s="1202" t="s">
        <v>1216</v>
      </c>
      <c r="AK2" s="1202" t="s">
        <v>1217</v>
      </c>
      <c r="AM2" s="1202" t="s">
        <v>1218</v>
      </c>
      <c r="AP2" s="760" t="s">
        <v>1212</v>
      </c>
      <c r="AQ2" s="1213" t="s">
        <v>1212</v>
      </c>
      <c r="AS2" s="1201" t="s">
        <v>1219</v>
      </c>
      <c r="AU2" s="1214" t="s">
        <v>1220</v>
      </c>
      <c r="AW2" s="1214" t="s">
        <v>1221</v>
      </c>
      <c r="AX2" s="1214" t="s">
        <v>1221</v>
      </c>
      <c r="AZ2" s="1214" t="s">
        <v>1222</v>
      </c>
      <c r="BB2" s="1214" t="s">
        <v>1223</v>
      </c>
      <c r="BC2" s="1214" t="s">
        <v>1224</v>
      </c>
      <c r="BE2" s="1214">
        <v>2000</v>
      </c>
      <c r="BF2" s="1214" t="s">
        <v>1225</v>
      </c>
    </row>
    <row r="3" ht="11.25" customHeight="1">
      <c r="A3" s="142" t="s">
        <v>1226</v>
      </c>
      <c r="B3" s="1201">
        <v>2001</v>
      </c>
      <c r="C3" s="1201">
        <v>2023</v>
      </c>
      <c r="D3" s="1201" t="s">
        <v>54</v>
      </c>
      <c r="E3" s="1202" t="s">
        <v>1227</v>
      </c>
      <c r="F3" s="1202" t="s">
        <v>1228</v>
      </c>
      <c r="G3" s="1202" t="s">
        <v>1229</v>
      </c>
      <c r="H3" s="1202" t="s">
        <v>1230</v>
      </c>
      <c r="I3" s="1202" t="s">
        <v>99</v>
      </c>
      <c r="J3" s="1202" t="s">
        <v>538</v>
      </c>
      <c r="K3" s="1203" t="s">
        <v>1231</v>
      </c>
      <c r="L3" s="1203">
        <f t="shared" ref="L3:L5" si="44">_xlfn.IFERROR(MATCH(K3,OFFER_METHOD,0),0)</f>
        <v>0</v>
      </c>
      <c r="M3" s="1203">
        <v>2</v>
      </c>
      <c r="N3" s="1204" t="s">
        <v>1232</v>
      </c>
      <c r="O3" s="1202" t="s">
        <v>1233</v>
      </c>
      <c r="P3" s="1205" t="s">
        <v>1234</v>
      </c>
      <c r="Q3" s="1206" t="s">
        <v>1235</v>
      </c>
      <c r="R3" s="1207" t="s">
        <v>1236</v>
      </c>
      <c r="S3" s="1207" t="s">
        <v>1237</v>
      </c>
      <c r="T3" s="1208" t="s">
        <v>1238</v>
      </c>
      <c r="U3" s="1203" t="s">
        <v>1239</v>
      </c>
      <c r="V3" s="1209">
        <v>2</v>
      </c>
      <c r="W3" s="1210"/>
      <c r="X3" s="1210" t="s">
        <v>1240</v>
      </c>
      <c r="Y3" s="1201" t="s">
        <v>1213</v>
      </c>
      <c r="Z3" s="1211"/>
      <c r="AA3" s="1201" t="s">
        <v>1241</v>
      </c>
      <c r="AB3" s="1212" t="s">
        <v>1241</v>
      </c>
      <c r="AC3" s="1201" t="s">
        <v>1242</v>
      </c>
      <c r="AD3" s="1212" t="s">
        <v>1242</v>
      </c>
      <c r="AF3" s="1202" t="s">
        <v>1239</v>
      </c>
      <c r="AH3" s="1202" t="s">
        <v>1243</v>
      </c>
      <c r="AI3" s="1202" t="s">
        <v>1244</v>
      </c>
      <c r="AK3" s="1202" t="s">
        <v>1245</v>
      </c>
      <c r="AM3" s="1202" t="s">
        <v>1246</v>
      </c>
      <c r="AP3" s="760" t="s">
        <v>1247</v>
      </c>
      <c r="AQ3" s="1213" t="s">
        <v>1247</v>
      </c>
      <c r="AS3" s="1201" t="s">
        <v>1248</v>
      </c>
      <c r="AU3" s="1214" t="s">
        <v>1249</v>
      </c>
      <c r="AW3" s="1214" t="s">
        <v>1250</v>
      </c>
      <c r="AX3" s="1214" t="s">
        <v>1250</v>
      </c>
      <c r="AZ3" s="1214" t="s">
        <v>50</v>
      </c>
      <c r="BB3" s="1214" t="s">
        <v>1251</v>
      </c>
      <c r="BC3" s="1214" t="s">
        <v>1224</v>
      </c>
      <c r="BE3" s="1214">
        <v>2001</v>
      </c>
      <c r="BF3" s="1214" t="s">
        <v>1252</v>
      </c>
      <c r="BH3" s="1194" t="s">
        <v>1253</v>
      </c>
      <c r="BJ3" s="1194" t="s">
        <v>1254</v>
      </c>
      <c r="BL3" s="1194" t="s">
        <v>1255</v>
      </c>
      <c r="BN3" s="1194" t="s">
        <v>1256</v>
      </c>
      <c r="BR3" s="1194" t="s">
        <v>1257</v>
      </c>
      <c r="BS3" s="1215"/>
      <c r="BT3" s="254"/>
      <c r="BU3" s="1194" t="s">
        <v>1258</v>
      </c>
      <c r="BV3" s="254"/>
      <c r="BX3" s="1194" t="s">
        <v>1259</v>
      </c>
      <c r="CA3" s="1194" t="s">
        <v>1260</v>
      </c>
    </row>
    <row r="4" ht="11.25" customHeight="1">
      <c r="A4" s="142" t="s">
        <v>1261</v>
      </c>
      <c r="B4" s="1201">
        <v>2002</v>
      </c>
      <c r="C4" s="1201">
        <v>2024</v>
      </c>
      <c r="E4" s="1202" t="s">
        <v>1262</v>
      </c>
      <c r="F4" s="1202" t="s">
        <v>1263</v>
      </c>
      <c r="H4" s="1202" t="s">
        <v>1264</v>
      </c>
      <c r="I4" s="1202" t="s">
        <v>87</v>
      </c>
      <c r="J4" s="1202" t="s">
        <v>1265</v>
      </c>
      <c r="K4" s="1203" t="s">
        <v>1266</v>
      </c>
      <c r="L4" s="1203">
        <f t="shared" si="44"/>
        <v>0</v>
      </c>
      <c r="M4" s="1203">
        <v>3</v>
      </c>
      <c r="N4" s="1204" t="s">
        <v>1267</v>
      </c>
      <c r="O4" s="1202" t="s">
        <v>1268</v>
      </c>
      <c r="Q4" s="1206" t="s">
        <v>1269</v>
      </c>
      <c r="R4" s="1207" t="s">
        <v>1270</v>
      </c>
      <c r="S4" s="1207" t="s">
        <v>1271</v>
      </c>
      <c r="T4" s="1208" t="s">
        <v>1272</v>
      </c>
      <c r="U4" s="1203" t="s">
        <v>1273</v>
      </c>
      <c r="V4" s="1209">
        <v>3</v>
      </c>
      <c r="W4" s="1210"/>
      <c r="X4" s="1210" t="s">
        <v>1274</v>
      </c>
      <c r="Y4" s="1201" t="s">
        <v>1213</v>
      </c>
      <c r="Z4" s="106"/>
      <c r="AC4" s="1201" t="s">
        <v>1275</v>
      </c>
      <c r="AD4" s="1212" t="s">
        <v>1275</v>
      </c>
      <c r="AF4" s="1202" t="s">
        <v>1273</v>
      </c>
      <c r="AH4" s="1202" t="s">
        <v>1276</v>
      </c>
      <c r="AK4" s="1202" t="s">
        <v>1277</v>
      </c>
      <c r="AM4" s="1202" t="s">
        <v>1278</v>
      </c>
      <c r="AP4" s="760" t="s">
        <v>1240</v>
      </c>
      <c r="AQ4" s="1213" t="s">
        <v>1240</v>
      </c>
      <c r="AS4" s="1201" t="s">
        <v>1279</v>
      </c>
      <c r="AU4" s="1214" t="s">
        <v>1280</v>
      </c>
      <c r="AW4" s="1214" t="s">
        <v>1281</v>
      </c>
      <c r="AX4" s="1214" t="s">
        <v>1281</v>
      </c>
      <c r="AZ4" s="1214" t="s">
        <v>1282</v>
      </c>
      <c r="BB4" s="1214" t="s">
        <v>1283</v>
      </c>
      <c r="BC4" s="1214" t="s">
        <v>1284</v>
      </c>
      <c r="BE4" s="1214">
        <v>2002</v>
      </c>
      <c r="BF4" s="1214" t="s">
        <v>1285</v>
      </c>
      <c r="BH4" s="1216" t="s">
        <v>1286</v>
      </c>
      <c r="BJ4" s="1216" t="s">
        <v>1286</v>
      </c>
      <c r="BL4" s="1216" t="s">
        <v>1286</v>
      </c>
      <c r="BN4" s="1216" t="s">
        <v>1286</v>
      </c>
      <c r="BQ4" s="1217" t="s">
        <v>1287</v>
      </c>
      <c r="BR4" s="760" t="s">
        <v>1288</v>
      </c>
      <c r="BS4" s="760"/>
      <c r="BT4" s="1217" t="s">
        <v>1289</v>
      </c>
      <c r="BU4" s="760" t="s">
        <v>1290</v>
      </c>
      <c r="BV4" s="254"/>
      <c r="BW4" s="1217" t="s">
        <v>1291</v>
      </c>
      <c r="BX4" s="760" t="s">
        <v>1292</v>
      </c>
      <c r="BZ4" s="1217" t="s">
        <v>1293</v>
      </c>
      <c r="CA4" s="760" t="s">
        <v>1294</v>
      </c>
    </row>
    <row r="5" ht="11.25" customHeight="1">
      <c r="A5" s="142" t="s">
        <v>1295</v>
      </c>
      <c r="B5" s="1201">
        <v>2003</v>
      </c>
      <c r="C5" s="1201">
        <v>2025</v>
      </c>
      <c r="E5" s="1202" t="s">
        <v>1296</v>
      </c>
      <c r="F5" s="1202" t="s">
        <v>31</v>
      </c>
      <c r="H5" s="1202" t="s">
        <v>1297</v>
      </c>
      <c r="I5" s="1202" t="s">
        <v>88</v>
      </c>
      <c r="K5" s="1203" t="s">
        <v>1298</v>
      </c>
      <c r="L5" s="1203">
        <f t="shared" si="44"/>
        <v>0</v>
      </c>
      <c r="M5" s="1203">
        <v>4</v>
      </c>
      <c r="N5" s="1218" t="s">
        <v>1299</v>
      </c>
      <c r="O5" s="1202" t="s">
        <v>1300</v>
      </c>
      <c r="Q5" s="1206" t="s">
        <v>1301</v>
      </c>
      <c r="R5" s="1207" t="s">
        <v>1302</v>
      </c>
      <c r="T5" s="1202" t="s">
        <v>1303</v>
      </c>
      <c r="U5" s="1203" t="s">
        <v>1304</v>
      </c>
      <c r="V5" s="1209">
        <v>4</v>
      </c>
      <c r="W5" s="1210"/>
      <c r="X5" s="1210" t="s">
        <v>168</v>
      </c>
      <c r="Y5" s="1201" t="s">
        <v>1305</v>
      </c>
      <c r="Z5" s="106">
        <v>1</v>
      </c>
      <c r="AF5" s="1202" t="s">
        <v>1306</v>
      </c>
      <c r="AH5" s="1202" t="s">
        <v>1307</v>
      </c>
      <c r="AK5" s="1202" t="s">
        <v>1308</v>
      </c>
      <c r="AM5" s="1202" t="s">
        <v>1309</v>
      </c>
      <c r="AP5" s="760" t="s">
        <v>168</v>
      </c>
      <c r="AQ5" s="1213" t="s">
        <v>168</v>
      </c>
      <c r="AU5" s="1214" t="s">
        <v>1310</v>
      </c>
      <c r="AW5" s="1214" t="s">
        <v>1311</v>
      </c>
      <c r="AX5" s="1214" t="s">
        <v>1311</v>
      </c>
      <c r="AZ5" s="1214" t="s">
        <v>1312</v>
      </c>
      <c r="BB5" s="1214" t="s">
        <v>1313</v>
      </c>
      <c r="BC5" s="1214" t="s">
        <v>1314</v>
      </c>
      <c r="BE5" s="1214">
        <v>2003</v>
      </c>
      <c r="BF5" s="1214" t="s">
        <v>1315</v>
      </c>
      <c r="BH5" s="1216" t="s">
        <v>1316</v>
      </c>
      <c r="BJ5" s="1216" t="s">
        <v>1316</v>
      </c>
      <c r="BL5" s="1216" t="s">
        <v>1316</v>
      </c>
      <c r="BN5" s="1216" t="s">
        <v>1317</v>
      </c>
      <c r="BQ5" s="1214">
        <v>4213775</v>
      </c>
      <c r="BR5" s="1216" t="s">
        <v>1212</v>
      </c>
      <c r="BS5" s="1219"/>
      <c r="BT5" s="1214">
        <v>64236871</v>
      </c>
      <c r="BU5" s="1216" t="s">
        <v>217</v>
      </c>
      <c r="BV5" s="254"/>
      <c r="BW5" s="1214">
        <v>4213767</v>
      </c>
      <c r="BX5" s="1216" t="s">
        <v>1318</v>
      </c>
      <c r="BZ5" s="1214">
        <v>64237509</v>
      </c>
      <c r="CA5" s="1220" t="s">
        <v>1319</v>
      </c>
    </row>
    <row r="6" ht="11.25" customHeight="1">
      <c r="A6" s="142" t="s">
        <v>1320</v>
      </c>
      <c r="B6" s="1201">
        <v>2004</v>
      </c>
      <c r="C6" s="1201">
        <v>2026</v>
      </c>
      <c r="E6" s="1202" t="s">
        <v>1321</v>
      </c>
      <c r="F6" s="185"/>
      <c r="H6" s="1202" t="s">
        <v>1322</v>
      </c>
      <c r="I6" s="1202" t="s">
        <v>112</v>
      </c>
      <c r="J6" s="1194" t="s">
        <v>1323</v>
      </c>
      <c r="L6" s="1203">
        <f>SUM(kind_of_control_method_filter)</f>
        <v>0</v>
      </c>
      <c r="N6" s="1218" t="s">
        <v>1324</v>
      </c>
      <c r="O6" s="1202" t="s">
        <v>1325</v>
      </c>
      <c r="R6" s="1207" t="s">
        <v>1207</v>
      </c>
      <c r="T6" s="1202" t="s">
        <v>1326</v>
      </c>
      <c r="U6" s="1203" t="s">
        <v>1306</v>
      </c>
      <c r="V6" s="1209">
        <v>5</v>
      </c>
      <c r="W6" s="1210"/>
      <c r="X6" s="1201" t="s">
        <v>174</v>
      </c>
      <c r="Y6" s="1201" t="s">
        <v>1327</v>
      </c>
      <c r="Z6" s="106"/>
      <c r="AA6" s="799"/>
      <c r="AH6" s="1202" t="s">
        <v>1328</v>
      </c>
      <c r="AK6" s="1202" t="s">
        <v>1329</v>
      </c>
      <c r="AM6" s="1202" t="s">
        <v>1330</v>
      </c>
      <c r="AP6" s="760" t="s">
        <v>174</v>
      </c>
      <c r="AQ6" s="1213" t="s">
        <v>174</v>
      </c>
      <c r="AU6" s="1214" t="s">
        <v>1331</v>
      </c>
      <c r="AW6" s="1214" t="s">
        <v>1332</v>
      </c>
      <c r="AX6" s="1214" t="s">
        <v>1332</v>
      </c>
      <c r="BB6" s="1214" t="s">
        <v>1333</v>
      </c>
      <c r="BC6" s="1214" t="s">
        <v>1314</v>
      </c>
      <c r="BE6" s="1214">
        <v>2004</v>
      </c>
      <c r="BF6" s="1214" t="s">
        <v>1334</v>
      </c>
      <c r="BH6" s="1216" t="s">
        <v>1335</v>
      </c>
      <c r="BJ6" s="1216" t="s">
        <v>1336</v>
      </c>
      <c r="BL6" s="1216" t="s">
        <v>1336</v>
      </c>
      <c r="BN6" s="1216" t="s">
        <v>1337</v>
      </c>
      <c r="BQ6" s="1214">
        <v>4213784</v>
      </c>
      <c r="BR6" s="1220" t="s">
        <v>1247</v>
      </c>
      <c r="BS6" s="1221"/>
      <c r="BT6" s="1214">
        <v>64236872</v>
      </c>
      <c r="BU6" s="1216" t="s">
        <v>222</v>
      </c>
      <c r="BV6" s="254"/>
      <c r="BW6" s="1214">
        <v>4213768</v>
      </c>
      <c r="BX6" s="1216" t="s">
        <v>242</v>
      </c>
      <c r="BZ6" s="1214">
        <v>64237510</v>
      </c>
      <c r="CA6" s="1216" t="s">
        <v>1338</v>
      </c>
    </row>
    <row r="7" ht="11.25" customHeight="1">
      <c r="A7" s="142" t="s">
        <v>1339</v>
      </c>
      <c r="B7" s="1201">
        <v>2005</v>
      </c>
      <c r="E7" s="1202" t="s">
        <v>1340</v>
      </c>
      <c r="F7" s="185"/>
      <c r="H7" s="1202" t="s">
        <v>1341</v>
      </c>
      <c r="I7" s="1202" t="s">
        <v>89</v>
      </c>
      <c r="J7" s="1202" t="s">
        <v>1342</v>
      </c>
      <c r="N7" s="1222" t="s">
        <v>1343</v>
      </c>
      <c r="O7" s="1202" t="s">
        <v>1344</v>
      </c>
      <c r="U7" s="1203" t="s">
        <v>54</v>
      </c>
      <c r="V7" s="1223" t="s">
        <v>89</v>
      </c>
      <c r="W7" s="1210"/>
      <c r="X7" s="1201" t="s">
        <v>180</v>
      </c>
      <c r="Y7" s="1201" t="s">
        <v>1305</v>
      </c>
      <c r="Z7" s="106"/>
      <c r="AA7" s="799"/>
      <c r="AH7" s="1202" t="s">
        <v>1345</v>
      </c>
      <c r="AK7" s="1202" t="s">
        <v>1346</v>
      </c>
      <c r="AM7" s="1202" t="s">
        <v>1347</v>
      </c>
      <c r="AP7" s="760" t="s">
        <v>180</v>
      </c>
      <c r="AQ7" s="1213" t="s">
        <v>180</v>
      </c>
      <c r="AU7" s="1214" t="s">
        <v>1348</v>
      </c>
      <c r="AW7" s="1214" t="s">
        <v>1349</v>
      </c>
      <c r="AX7" s="1214" t="s">
        <v>1349</v>
      </c>
      <c r="AZ7" s="1194" t="s">
        <v>1350</v>
      </c>
      <c r="BB7" s="1214" t="s">
        <v>1351</v>
      </c>
      <c r="BC7" s="1214" t="s">
        <v>1314</v>
      </c>
      <c r="BE7" s="1214">
        <v>2005</v>
      </c>
      <c r="BF7" s="1214" t="s">
        <v>1352</v>
      </c>
      <c r="BH7" s="1216" t="s">
        <v>1353</v>
      </c>
      <c r="BJ7" s="1216" t="s">
        <v>1335</v>
      </c>
      <c r="BL7" s="1216" t="s">
        <v>1335</v>
      </c>
      <c r="BN7" s="1216" t="s">
        <v>1354</v>
      </c>
      <c r="BQ7" s="1214">
        <v>4213781</v>
      </c>
      <c r="BR7" s="1216" t="s">
        <v>1240</v>
      </c>
      <c r="BS7" s="1219"/>
      <c r="BT7" s="1214">
        <v>64236873</v>
      </c>
      <c r="BU7" s="1216" t="s">
        <v>227</v>
      </c>
      <c r="BV7" s="254"/>
      <c r="BW7" s="1214">
        <v>4213769</v>
      </c>
      <c r="BX7" s="1216" t="s">
        <v>1355</v>
      </c>
      <c r="BZ7" s="1214">
        <v>64237511</v>
      </c>
      <c r="CA7" s="1216" t="s">
        <v>257</v>
      </c>
    </row>
    <row r="8" ht="11.25" customHeight="1">
      <c r="A8" s="142" t="s">
        <v>1356</v>
      </c>
      <c r="B8" s="1201">
        <v>2006</v>
      </c>
      <c r="E8" s="1202" t="s">
        <v>1357</v>
      </c>
      <c r="F8" s="185"/>
      <c r="I8" s="1202" t="s">
        <v>90</v>
      </c>
      <c r="J8" s="1202" t="s">
        <v>1358</v>
      </c>
      <c r="N8" s="1224" t="s">
        <v>1359</v>
      </c>
      <c r="O8" s="1202" t="s">
        <v>1360</v>
      </c>
      <c r="V8" s="1223" t="s">
        <v>90</v>
      </c>
      <c r="W8" s="1210"/>
      <c r="X8" s="1201" t="s">
        <v>186</v>
      </c>
      <c r="Y8" s="1201" t="s">
        <v>1305</v>
      </c>
      <c r="Z8" s="106"/>
      <c r="AA8" s="799"/>
      <c r="AK8" s="1202" t="s">
        <v>1361</v>
      </c>
      <c r="AP8" s="760" t="s">
        <v>186</v>
      </c>
      <c r="AQ8" s="1213" t="s">
        <v>186</v>
      </c>
      <c r="AU8" s="1214" t="s">
        <v>1362</v>
      </c>
      <c r="AW8" s="1214" t="s">
        <v>1363</v>
      </c>
      <c r="AX8" s="1214" t="s">
        <v>1363</v>
      </c>
      <c r="AZ8" s="1214" t="s">
        <v>1364</v>
      </c>
      <c r="BB8" s="1214" t="s">
        <v>1365</v>
      </c>
      <c r="BC8" s="1214" t="s">
        <v>1314</v>
      </c>
      <c r="BE8" s="1214">
        <v>2006</v>
      </c>
      <c r="BF8" s="1214" t="s">
        <v>1366</v>
      </c>
      <c r="BH8" s="1216" t="s">
        <v>1367</v>
      </c>
      <c r="BJ8" s="1216" t="s">
        <v>1368</v>
      </c>
      <c r="BL8" s="1216" t="s">
        <v>1368</v>
      </c>
      <c r="BN8" s="1216" t="s">
        <v>1369</v>
      </c>
      <c r="BQ8" s="1214">
        <v>4213776</v>
      </c>
      <c r="BR8" s="1216" t="s">
        <v>168</v>
      </c>
      <c r="BS8" s="1219"/>
      <c r="BT8" s="1214">
        <v>64236874</v>
      </c>
      <c r="BU8" s="1220" t="s">
        <v>1370</v>
      </c>
      <c r="BV8" s="254"/>
      <c r="BW8" s="1214">
        <v>4213770</v>
      </c>
      <c r="BX8" s="1220" t="s">
        <v>1371</v>
      </c>
      <c r="BZ8" s="1214">
        <v>64237512</v>
      </c>
      <c r="CA8" s="1216" t="s">
        <v>252</v>
      </c>
    </row>
    <row r="9" ht="11.25" customHeight="1">
      <c r="A9" s="142" t="s">
        <v>1372</v>
      </c>
      <c r="B9" s="1201">
        <v>2007</v>
      </c>
      <c r="E9" s="1202" t="s">
        <v>1373</v>
      </c>
      <c r="F9" s="185"/>
      <c r="G9" s="1194" t="s">
        <v>1374</v>
      </c>
      <c r="H9" s="1194" t="s">
        <v>1375</v>
      </c>
      <c r="I9" s="1202" t="s">
        <v>113</v>
      </c>
      <c r="O9" s="1202" t="s">
        <v>1376</v>
      </c>
      <c r="V9" s="1223" t="s">
        <v>113</v>
      </c>
      <c r="W9" s="1210"/>
      <c r="X9" s="1201" t="s">
        <v>192</v>
      </c>
      <c r="Y9" s="1201" t="s">
        <v>1213</v>
      </c>
      <c r="Z9" s="106">
        <v>1</v>
      </c>
      <c r="AA9" s="799"/>
      <c r="AK9" s="1202" t="s">
        <v>1377</v>
      </c>
      <c r="AP9" s="760" t="s">
        <v>1378</v>
      </c>
      <c r="AQ9" s="1213" t="s">
        <v>1378</v>
      </c>
      <c r="AW9" s="1214" t="s">
        <v>1379</v>
      </c>
      <c r="AX9" s="1214" t="s">
        <v>1379</v>
      </c>
      <c r="AZ9" s="1214" t="s">
        <v>1380</v>
      </c>
      <c r="BB9" s="1214" t="s">
        <v>1381</v>
      </c>
      <c r="BC9" s="1214" t="s">
        <v>1314</v>
      </c>
      <c r="BE9" s="1214">
        <v>2007</v>
      </c>
      <c r="BF9" s="1214" t="s">
        <v>1382</v>
      </c>
      <c r="BH9" s="1216" t="s">
        <v>1383</v>
      </c>
      <c r="BJ9" s="1216" t="s">
        <v>1384</v>
      </c>
      <c r="BL9" s="1216" t="s">
        <v>1384</v>
      </c>
      <c r="BN9" s="1216" t="s">
        <v>1385</v>
      </c>
      <c r="BQ9" s="1214">
        <v>4213777</v>
      </c>
      <c r="BR9" s="1216" t="s">
        <v>174</v>
      </c>
      <c r="BS9" s="1219"/>
      <c r="BT9" s="1214">
        <v>64236875</v>
      </c>
      <c r="BU9" s="1216" t="s">
        <v>232</v>
      </c>
      <c r="BV9" s="254"/>
    </row>
    <row r="10" ht="11.25" customHeight="1">
      <c r="A10" s="142" t="s">
        <v>1386</v>
      </c>
      <c r="B10" s="1201">
        <v>2008</v>
      </c>
      <c r="E10" s="1202" t="s">
        <v>1387</v>
      </c>
      <c r="F10" s="185"/>
      <c r="G10" s="1202" t="s">
        <v>1388</v>
      </c>
      <c r="H10" s="1202" t="s">
        <v>1389</v>
      </c>
      <c r="I10" s="1202" t="s">
        <v>150</v>
      </c>
      <c r="J10" s="1194" t="s">
        <v>1390</v>
      </c>
      <c r="K10" s="1194" t="s">
        <v>1391</v>
      </c>
      <c r="O10" s="1202" t="s">
        <v>1392</v>
      </c>
      <c r="V10" s="1225" t="s">
        <v>150</v>
      </c>
      <c r="W10" s="1226"/>
      <c r="X10" s="1226" t="s">
        <v>1393</v>
      </c>
      <c r="Y10" s="1227" t="s">
        <v>1394</v>
      </c>
      <c r="Z10" s="106"/>
      <c r="AP10" s="760" t="s">
        <v>1393</v>
      </c>
      <c r="AQ10" s="1213" t="s">
        <v>1393</v>
      </c>
      <c r="AW10" s="1214" t="s">
        <v>1395</v>
      </c>
      <c r="AX10" s="1214" t="s">
        <v>1395</v>
      </c>
      <c r="AZ10" s="1214" t="s">
        <v>1396</v>
      </c>
      <c r="BB10" s="1214" t="s">
        <v>1397</v>
      </c>
      <c r="BC10" s="1214" t="s">
        <v>1314</v>
      </c>
      <c r="BE10" s="1214">
        <v>2008</v>
      </c>
      <c r="BF10" s="1214" t="s">
        <v>1398</v>
      </c>
      <c r="BH10" s="1216" t="s">
        <v>1399</v>
      </c>
      <c r="BJ10" s="1216" t="s">
        <v>1400</v>
      </c>
      <c r="BL10" s="1216" t="s">
        <v>1400</v>
      </c>
      <c r="BN10" s="1216" t="s">
        <v>1401</v>
      </c>
      <c r="BQ10" s="1214">
        <v>4213778</v>
      </c>
      <c r="BR10" s="1216" t="s">
        <v>180</v>
      </c>
      <c r="BS10" s="1219"/>
      <c r="BT10" s="1214">
        <v>64236876</v>
      </c>
      <c r="BU10" s="1216" t="s">
        <v>212</v>
      </c>
      <c r="BV10" s="254"/>
    </row>
    <row r="11" ht="11.25" customHeight="1">
      <c r="A11" s="142" t="s">
        <v>1402</v>
      </c>
      <c r="B11" s="1201">
        <v>2009</v>
      </c>
      <c r="E11" s="1202" t="s">
        <v>1403</v>
      </c>
      <c r="F11" s="185"/>
      <c r="G11" s="1202" t="s">
        <v>1404</v>
      </c>
      <c r="H11" s="1202" t="s">
        <v>1405</v>
      </c>
      <c r="I11" s="1202" t="s">
        <v>151</v>
      </c>
      <c r="J11" s="1202" t="s">
        <v>1406</v>
      </c>
      <c r="K11" s="1228" t="s">
        <v>1407</v>
      </c>
      <c r="O11" s="1202" t="s">
        <v>1408</v>
      </c>
      <c r="V11" s="1223" t="s">
        <v>151</v>
      </c>
      <c r="W11" s="1229"/>
      <c r="X11" s="1210" t="s">
        <v>1378</v>
      </c>
      <c r="Y11" s="1201" t="s">
        <v>1409</v>
      </c>
      <c r="Z11" s="106"/>
      <c r="AP11" s="760" t="s">
        <v>192</v>
      </c>
      <c r="AQ11" s="1230" t="s">
        <v>192</v>
      </c>
      <c r="AW11" s="1214" t="s">
        <v>1410</v>
      </c>
      <c r="AX11" s="1214" t="s">
        <v>1410</v>
      </c>
      <c r="AZ11" s="1214" t="s">
        <v>1411</v>
      </c>
      <c r="BB11" s="1214" t="s">
        <v>1412</v>
      </c>
      <c r="BC11" s="1214" t="s">
        <v>1314</v>
      </c>
      <c r="BE11" s="1214">
        <v>2009</v>
      </c>
      <c r="BF11" s="1214" t="s">
        <v>1413</v>
      </c>
      <c r="BH11" s="1216" t="s">
        <v>1414</v>
      </c>
      <c r="BJ11" s="1216" t="s">
        <v>1383</v>
      </c>
      <c r="BL11" s="1216" t="s">
        <v>1383</v>
      </c>
      <c r="BN11" s="1216" t="s">
        <v>1415</v>
      </c>
      <c r="BQ11" s="1214">
        <v>4213780</v>
      </c>
      <c r="BR11" s="1216" t="s">
        <v>186</v>
      </c>
      <c r="BS11" s="1219"/>
    </row>
    <row r="12" ht="11.25" customHeight="1">
      <c r="A12" s="142" t="s">
        <v>1416</v>
      </c>
      <c r="B12" s="1201">
        <v>2010</v>
      </c>
      <c r="E12" s="1202" t="s">
        <v>1417</v>
      </c>
      <c r="F12" s="185"/>
      <c r="G12" s="1202" t="s">
        <v>1405</v>
      </c>
      <c r="I12" s="1202" t="s">
        <v>152</v>
      </c>
      <c r="J12" s="1202" t="s">
        <v>1418</v>
      </c>
      <c r="K12" s="1228" t="s">
        <v>1419</v>
      </c>
      <c r="O12" s="1202" t="s">
        <v>1207</v>
      </c>
      <c r="V12" s="1223" t="s">
        <v>152</v>
      </c>
      <c r="W12" s="1230"/>
      <c r="X12" s="1210" t="s">
        <v>1420</v>
      </c>
      <c r="Y12" s="1201" t="s">
        <v>1213</v>
      </c>
      <c r="AP12" s="760"/>
      <c r="AW12" s="1214" t="s">
        <v>151</v>
      </c>
      <c r="AX12" s="1214" t="s">
        <v>151</v>
      </c>
      <c r="AZ12" s="1214" t="s">
        <v>1421</v>
      </c>
      <c r="BB12" s="1214" t="s">
        <v>1422</v>
      </c>
      <c r="BC12" s="1214" t="s">
        <v>1314</v>
      </c>
      <c r="BE12" s="1214">
        <v>2010</v>
      </c>
      <c r="BF12" s="1214" t="s">
        <v>1423</v>
      </c>
      <c r="BH12" s="1216" t="s">
        <v>1424</v>
      </c>
      <c r="BJ12" s="1216" t="s">
        <v>1425</v>
      </c>
      <c r="BL12" s="1216" t="s">
        <v>1425</v>
      </c>
      <c r="BN12" s="1216" t="s">
        <v>1426</v>
      </c>
      <c r="BQ12" s="1214">
        <v>4213779</v>
      </c>
      <c r="BR12" s="1216" t="s">
        <v>1378</v>
      </c>
      <c r="BS12" s="1219"/>
      <c r="BT12" s="254"/>
      <c r="BU12" s="254"/>
      <c r="BV12" s="254"/>
    </row>
    <row r="13" ht="11.25" customHeight="1">
      <c r="A13" s="142" t="s">
        <v>1427</v>
      </c>
      <c r="B13" s="1201">
        <v>2011</v>
      </c>
      <c r="E13" s="1202" t="s">
        <v>1428</v>
      </c>
      <c r="F13" s="185"/>
      <c r="I13" s="1202" t="s">
        <v>153</v>
      </c>
      <c r="K13" s="1228" t="s">
        <v>1377</v>
      </c>
      <c r="V13" s="1223" t="s">
        <v>153</v>
      </c>
      <c r="W13" s="1230"/>
      <c r="X13" s="1230"/>
      <c r="Y13" s="1230"/>
      <c r="AW13" s="1214" t="s">
        <v>152</v>
      </c>
      <c r="AX13" s="1214" t="s">
        <v>152</v>
      </c>
      <c r="BB13" s="1214" t="s">
        <v>1429</v>
      </c>
      <c r="BC13" s="1214" t="s">
        <v>1430</v>
      </c>
      <c r="BE13" s="1214">
        <v>2011</v>
      </c>
      <c r="BF13" s="1214" t="s">
        <v>1431</v>
      </c>
      <c r="BH13" s="1216" t="s">
        <v>1432</v>
      </c>
      <c r="BJ13" s="1216" t="s">
        <v>1414</v>
      </c>
      <c r="BL13" s="1216" t="s">
        <v>1414</v>
      </c>
      <c r="BN13" s="1216" t="s">
        <v>1433</v>
      </c>
      <c r="BQ13" s="1214">
        <v>4213783</v>
      </c>
      <c r="BR13" s="1216" t="s">
        <v>1393</v>
      </c>
      <c r="BS13" s="1219"/>
      <c r="BT13" s="254"/>
      <c r="BU13" s="254"/>
      <c r="BV13" s="254"/>
      <c r="BW13" s="254"/>
    </row>
    <row r="14" ht="11.25" customHeight="1">
      <c r="A14" s="142" t="s">
        <v>1434</v>
      </c>
      <c r="B14" s="1201">
        <v>2012</v>
      </c>
      <c r="I14" s="1202" t="s">
        <v>154</v>
      </c>
      <c r="J14" s="1194" t="s">
        <v>1435</v>
      </c>
      <c r="N14" s="1194" t="s">
        <v>1436</v>
      </c>
      <c r="V14" s="1209">
        <v>13</v>
      </c>
      <c r="W14" s="1210"/>
      <c r="X14" s="1210" t="s">
        <v>1247</v>
      </c>
      <c r="Y14" s="1201" t="s">
        <v>1213</v>
      </c>
      <c r="AW14" s="1214" t="s">
        <v>153</v>
      </c>
      <c r="AX14" s="1214" t="s">
        <v>153</v>
      </c>
      <c r="AZ14" s="1194" t="s">
        <v>1437</v>
      </c>
      <c r="BB14" s="1214" t="s">
        <v>1438</v>
      </c>
      <c r="BC14" s="1214" t="s">
        <v>1430</v>
      </c>
      <c r="BE14" s="1214">
        <v>2012</v>
      </c>
      <c r="BH14" s="1216" t="s">
        <v>1354</v>
      </c>
      <c r="BJ14" s="1231" t="s">
        <v>1439</v>
      </c>
      <c r="BL14" s="1231" t="s">
        <v>1439</v>
      </c>
      <c r="BN14" s="1216" t="s">
        <v>1440</v>
      </c>
      <c r="BQ14" s="1214">
        <v>4213782</v>
      </c>
      <c r="BR14" s="1216" t="s">
        <v>192</v>
      </c>
      <c r="BS14" s="1219"/>
      <c r="BT14" s="254"/>
      <c r="BU14" s="254"/>
      <c r="BV14" s="254"/>
      <c r="BW14" s="254"/>
    </row>
    <row r="15" ht="19.5" customHeight="1">
      <c r="A15" s="142" t="s">
        <v>1441</v>
      </c>
      <c r="B15" s="1201">
        <v>2013</v>
      </c>
      <c r="E15" s="1232" t="s">
        <v>1442</v>
      </c>
      <c r="G15" s="1194" t="s">
        <v>1443</v>
      </c>
      <c r="H15" s="1194" t="s">
        <v>1444</v>
      </c>
      <c r="I15" s="1203" t="s">
        <v>155</v>
      </c>
      <c r="J15" s="1230" t="s">
        <v>565</v>
      </c>
      <c r="N15" s="1233" t="s">
        <v>1445</v>
      </c>
      <c r="X15" s="760"/>
      <c r="AW15" s="1214" t="s">
        <v>154</v>
      </c>
      <c r="AX15" s="1214" t="s">
        <v>154</v>
      </c>
      <c r="AZ15" s="1214" t="s">
        <v>1364</v>
      </c>
      <c r="BB15" s="1214" t="s">
        <v>1446</v>
      </c>
      <c r="BC15" s="1214" t="s">
        <v>1430</v>
      </c>
      <c r="BE15" s="1214">
        <v>2013</v>
      </c>
      <c r="BH15" s="1216" t="s">
        <v>1369</v>
      </c>
      <c r="BJ15" s="1231" t="s">
        <v>1447</v>
      </c>
      <c r="BL15" s="1231" t="s">
        <v>1447</v>
      </c>
      <c r="BN15" s="1216" t="s">
        <v>1448</v>
      </c>
      <c r="BR15" s="254"/>
      <c r="BS15" s="254"/>
      <c r="BT15" s="254"/>
      <c r="BU15" s="254"/>
      <c r="BV15" s="254"/>
      <c r="BW15" s="254"/>
    </row>
    <row r="16" ht="21" customHeight="1">
      <c r="A16" s="1234" t="s">
        <v>1449</v>
      </c>
      <c r="B16" s="1201">
        <v>2014</v>
      </c>
      <c r="E16" s="1235" t="s">
        <v>1450</v>
      </c>
      <c r="G16" s="1202" t="s">
        <v>1451</v>
      </c>
      <c r="H16" s="1202" t="s">
        <v>1452</v>
      </c>
      <c r="I16" s="1203" t="s">
        <v>1453</v>
      </c>
      <c r="J16" s="1230" t="s">
        <v>538</v>
      </c>
      <c r="N16" s="1233" t="s">
        <v>1454</v>
      </c>
      <c r="AW16" s="1214" t="s">
        <v>155</v>
      </c>
      <c r="AX16" s="1214" t="s">
        <v>155</v>
      </c>
      <c r="AZ16" s="1214" t="s">
        <v>1380</v>
      </c>
      <c r="BB16" s="1214" t="s">
        <v>1455</v>
      </c>
      <c r="BC16" s="1214" t="s">
        <v>1430</v>
      </c>
      <c r="BE16" s="1214">
        <v>2014</v>
      </c>
      <c r="BH16" s="1216" t="s">
        <v>1385</v>
      </c>
      <c r="BJ16" s="1231" t="s">
        <v>1456</v>
      </c>
      <c r="BL16" s="1231" t="s">
        <v>1456</v>
      </c>
      <c r="BN16" s="1216" t="s">
        <v>1457</v>
      </c>
      <c r="BR16" s="254"/>
      <c r="BS16" s="254"/>
      <c r="BT16" s="254"/>
      <c r="BU16" s="254"/>
      <c r="BV16" s="254"/>
      <c r="BW16" s="254"/>
    </row>
    <row r="17" ht="21" customHeight="1">
      <c r="A17" s="142" t="s">
        <v>1458</v>
      </c>
      <c r="B17" s="1201">
        <v>2015</v>
      </c>
      <c r="G17" s="1202" t="s">
        <v>1405</v>
      </c>
      <c r="H17" s="1202" t="s">
        <v>1405</v>
      </c>
      <c r="I17" s="1202" t="s">
        <v>1459</v>
      </c>
      <c r="N17" s="1233" t="s">
        <v>1460</v>
      </c>
      <c r="X17" s="760"/>
      <c r="AW17" s="1214" t="s">
        <v>1453</v>
      </c>
      <c r="AX17" s="1214" t="s">
        <v>1453</v>
      </c>
      <c r="AZ17" s="1214" t="s">
        <v>1461</v>
      </c>
      <c r="BB17" s="1214" t="s">
        <v>1462</v>
      </c>
      <c r="BC17" s="1214" t="s">
        <v>1314</v>
      </c>
      <c r="BE17" s="1214">
        <v>2015</v>
      </c>
      <c r="BH17" s="1216" t="s">
        <v>1401</v>
      </c>
      <c r="BJ17" s="1231" t="s">
        <v>1463</v>
      </c>
      <c r="BL17" s="1231" t="s">
        <v>1463</v>
      </c>
      <c r="BN17" s="1216" t="s">
        <v>1464</v>
      </c>
      <c r="BR17" s="1194" t="s">
        <v>1257</v>
      </c>
      <c r="BS17" s="1215"/>
      <c r="BU17" s="1194" t="s">
        <v>1465</v>
      </c>
      <c r="BV17" s="254"/>
      <c r="BX17" s="1194" t="s">
        <v>1466</v>
      </c>
      <c r="CA17" s="1194" t="s">
        <v>1467</v>
      </c>
      <c r="CD17" s="1194" t="s">
        <v>1468</v>
      </c>
    </row>
    <row r="18" ht="21" customHeight="1">
      <c r="A18" s="142" t="s">
        <v>1469</v>
      </c>
      <c r="B18" s="1201">
        <v>2016</v>
      </c>
      <c r="I18" s="1202" t="s">
        <v>1470</v>
      </c>
      <c r="N18" s="1233" t="s">
        <v>1471</v>
      </c>
      <c r="X18" s="760"/>
      <c r="AW18" s="1214" t="s">
        <v>1459</v>
      </c>
      <c r="AX18" s="1214" t="s">
        <v>1459</v>
      </c>
      <c r="BB18" s="1214" t="s">
        <v>1472</v>
      </c>
      <c r="BC18" s="1214" t="s">
        <v>1314</v>
      </c>
      <c r="BE18" s="1214">
        <v>2016</v>
      </c>
      <c r="BH18" s="1216" t="s">
        <v>1415</v>
      </c>
      <c r="BJ18" s="1231" t="s">
        <v>1473</v>
      </c>
      <c r="BL18" s="1231" t="s">
        <v>1473</v>
      </c>
      <c r="BN18" s="1216" t="s">
        <v>1474</v>
      </c>
      <c r="BQ18" s="1217" t="s">
        <v>1287</v>
      </c>
      <c r="BR18" s="760" t="s">
        <v>1288</v>
      </c>
      <c r="BS18" s="760"/>
      <c r="BT18" s="1217" t="s">
        <v>1475</v>
      </c>
      <c r="BU18" s="760" t="s">
        <v>1476</v>
      </c>
      <c r="BV18" s="254"/>
      <c r="BW18" s="1217" t="s">
        <v>1477</v>
      </c>
      <c r="BX18" s="760" t="s">
        <v>1478</v>
      </c>
      <c r="BZ18" s="1217" t="s">
        <v>1479</v>
      </c>
      <c r="CA18" s="760" t="s">
        <v>1480</v>
      </c>
      <c r="CC18" s="1217" t="s">
        <v>1481</v>
      </c>
      <c r="CD18" s="760" t="s">
        <v>1482</v>
      </c>
    </row>
    <row r="19" ht="21" customHeight="1">
      <c r="A19" s="1234" t="s">
        <v>1483</v>
      </c>
      <c r="B19" s="1201">
        <v>2017</v>
      </c>
      <c r="I19" s="1202" t="s">
        <v>1484</v>
      </c>
      <c r="N19" s="1233" t="s">
        <v>1485</v>
      </c>
      <c r="X19" s="760"/>
      <c r="AW19" s="1214" t="s">
        <v>1470</v>
      </c>
      <c r="AX19" s="1214" t="s">
        <v>1470</v>
      </c>
      <c r="AZ19" s="1194" t="s">
        <v>1486</v>
      </c>
      <c r="BB19" s="1214" t="s">
        <v>1487</v>
      </c>
      <c r="BC19" s="1214" t="s">
        <v>1314</v>
      </c>
      <c r="BE19" s="1214">
        <v>2017</v>
      </c>
      <c r="BH19" s="1216" t="s">
        <v>1488</v>
      </c>
      <c r="BJ19" s="1231" t="s">
        <v>1489</v>
      </c>
      <c r="BL19" s="1231" t="s">
        <v>1489</v>
      </c>
      <c r="BQ19" s="1214">
        <v>4190064</v>
      </c>
      <c r="BR19" s="1216" t="s">
        <v>1490</v>
      </c>
      <c r="BS19" s="1219"/>
      <c r="BT19" s="1214">
        <v>4189671</v>
      </c>
      <c r="BU19" s="1216" t="s">
        <v>1491</v>
      </c>
      <c r="BV19" s="254"/>
      <c r="BW19" s="1214">
        <v>4189706</v>
      </c>
      <c r="BX19" s="1216" t="s">
        <v>1492</v>
      </c>
      <c r="BZ19" s="1214">
        <v>4189714</v>
      </c>
      <c r="CA19" s="1216" t="s">
        <v>1493</v>
      </c>
      <c r="CC19" s="1214">
        <v>4189708</v>
      </c>
      <c r="CD19" s="1216" t="s">
        <v>1494</v>
      </c>
    </row>
    <row r="20" ht="21" customHeight="1">
      <c r="A20" s="142" t="s">
        <v>1495</v>
      </c>
      <c r="B20" s="1201">
        <v>2018</v>
      </c>
      <c r="I20" s="1202" t="s">
        <v>1496</v>
      </c>
      <c r="N20" s="1233" t="s">
        <v>1497</v>
      </c>
      <c r="AW20" s="1214" t="s">
        <v>1484</v>
      </c>
      <c r="AX20" s="1214" t="s">
        <v>1484</v>
      </c>
      <c r="AZ20" s="1214" t="s">
        <v>1498</v>
      </c>
      <c r="BB20" s="1214" t="s">
        <v>1499</v>
      </c>
      <c r="BC20" s="1214" t="s">
        <v>1430</v>
      </c>
      <c r="BE20" s="1214">
        <v>2018</v>
      </c>
      <c r="BH20" s="1216" t="s">
        <v>1426</v>
      </c>
      <c r="BJ20" s="1216" t="s">
        <v>1354</v>
      </c>
      <c r="BL20" s="1216" t="s">
        <v>1354</v>
      </c>
      <c r="BQ20" s="1214">
        <v>4190065</v>
      </c>
      <c r="BR20" s="1216" t="s">
        <v>1500</v>
      </c>
      <c r="BS20" s="1219"/>
      <c r="BT20" s="1214">
        <v>4189672</v>
      </c>
      <c r="BU20" s="1216" t="s">
        <v>1501</v>
      </c>
      <c r="BV20" s="254"/>
      <c r="BW20" s="1214">
        <v>4189705</v>
      </c>
      <c r="BX20" s="1216" t="s">
        <v>1502</v>
      </c>
      <c r="BZ20" s="1214">
        <v>4189713</v>
      </c>
      <c r="CA20" s="1216" t="s">
        <v>1502</v>
      </c>
      <c r="CC20" s="1214">
        <v>4189709</v>
      </c>
      <c r="CD20" s="1216" t="s">
        <v>1503</v>
      </c>
    </row>
    <row r="21" ht="21" customHeight="1">
      <c r="A21" s="142" t="s">
        <v>1504</v>
      </c>
      <c r="B21" s="1201">
        <v>2019</v>
      </c>
      <c r="I21" s="1202" t="s">
        <v>1505</v>
      </c>
      <c r="N21" s="1233" t="s">
        <v>1506</v>
      </c>
      <c r="AW21" s="1214" t="s">
        <v>1496</v>
      </c>
      <c r="AX21" s="1214" t="s">
        <v>1496</v>
      </c>
      <c r="AZ21" s="1214" t="s">
        <v>1507</v>
      </c>
      <c r="BB21" s="1214" t="s">
        <v>1508</v>
      </c>
      <c r="BC21" s="1214" t="s">
        <v>1314</v>
      </c>
      <c r="BE21" s="1214">
        <v>2019</v>
      </c>
      <c r="BH21" s="1216" t="s">
        <v>1433</v>
      </c>
      <c r="BJ21" s="1216" t="s">
        <v>1369</v>
      </c>
      <c r="BL21" s="1216" t="s">
        <v>1369</v>
      </c>
      <c r="BQ21" s="1214">
        <v>4190066</v>
      </c>
      <c r="BR21" s="1216" t="s">
        <v>1509</v>
      </c>
      <c r="BS21" s="1219"/>
      <c r="BT21" s="1214">
        <v>4189673</v>
      </c>
      <c r="BU21" s="1216" t="s">
        <v>1510</v>
      </c>
      <c r="BV21" s="254"/>
      <c r="BW21" s="1214">
        <v>4189707</v>
      </c>
      <c r="BX21" s="1216" t="s">
        <v>1511</v>
      </c>
      <c r="BZ21" s="1214">
        <v>4189712</v>
      </c>
      <c r="CA21" s="1216" t="s">
        <v>1512</v>
      </c>
      <c r="CC21" s="1214">
        <v>4189710</v>
      </c>
      <c r="CD21" s="1216" t="s">
        <v>1513</v>
      </c>
    </row>
    <row r="22" ht="21" customHeight="1">
      <c r="A22" s="142" t="s">
        <v>1514</v>
      </c>
      <c r="B22" s="1201">
        <v>2020</v>
      </c>
      <c r="N22" s="1233" t="s">
        <v>1515</v>
      </c>
      <c r="AW22" s="1214" t="s">
        <v>1505</v>
      </c>
      <c r="AX22" s="1214" t="s">
        <v>1505</v>
      </c>
      <c r="AZ22" s="1214" t="s">
        <v>1516</v>
      </c>
      <c r="BB22" s="1214" t="s">
        <v>1517</v>
      </c>
      <c r="BC22" s="1214" t="s">
        <v>1314</v>
      </c>
      <c r="BE22" s="1214">
        <v>2020</v>
      </c>
      <c r="BH22" s="1216" t="s">
        <v>1440</v>
      </c>
      <c r="BJ22" s="1216" t="s">
        <v>1385</v>
      </c>
      <c r="BL22" s="1216" t="s">
        <v>1385</v>
      </c>
      <c r="BQ22" s="1214">
        <v>4190067</v>
      </c>
      <c r="BR22" s="1216" t="s">
        <v>1518</v>
      </c>
      <c r="BS22" s="1219"/>
      <c r="BT22" s="1214">
        <v>4189674</v>
      </c>
      <c r="BU22" s="1216" t="s">
        <v>1519</v>
      </c>
      <c r="BV22" s="254"/>
      <c r="BW22" s="254"/>
      <c r="CC22" s="1214">
        <v>4189711</v>
      </c>
      <c r="CD22" s="1216" t="s">
        <v>281</v>
      </c>
    </row>
    <row r="23" ht="21" customHeight="1">
      <c r="A23" s="142" t="s">
        <v>1520</v>
      </c>
      <c r="B23" s="1201">
        <v>2021</v>
      </c>
      <c r="AW23" s="1214" t="s">
        <v>1521</v>
      </c>
      <c r="AX23" s="1214" t="s">
        <v>1521</v>
      </c>
      <c r="AZ23" s="1214" t="s">
        <v>1522</v>
      </c>
      <c r="BB23" s="1214" t="s">
        <v>1523</v>
      </c>
      <c r="BC23" s="1214" t="s">
        <v>1224</v>
      </c>
      <c r="BE23" s="1214">
        <v>2021</v>
      </c>
      <c r="BH23" s="1216" t="s">
        <v>1448</v>
      </c>
      <c r="BJ23" s="1216" t="s">
        <v>1401</v>
      </c>
      <c r="BL23" s="1216" t="s">
        <v>1401</v>
      </c>
      <c r="BQ23" s="1214">
        <v>4190068</v>
      </c>
      <c r="BR23" s="1216" t="s">
        <v>1524</v>
      </c>
      <c r="BS23" s="1219"/>
      <c r="BT23" s="1214">
        <v>4189675</v>
      </c>
      <c r="BU23" s="1216" t="s">
        <v>1525</v>
      </c>
      <c r="BV23" s="254"/>
      <c r="BW23" s="254"/>
      <c r="CC23" s="1214">
        <v>5110778</v>
      </c>
      <c r="CD23" s="1216" t="s">
        <v>1526</v>
      </c>
    </row>
    <row r="24" ht="21" customHeight="1">
      <c r="A24" s="142" t="s">
        <v>1527</v>
      </c>
      <c r="B24" s="1201">
        <v>2022</v>
      </c>
      <c r="AW24" s="1214" t="s">
        <v>1528</v>
      </c>
      <c r="AX24" s="1214" t="s">
        <v>1528</v>
      </c>
      <c r="AZ24" s="1214" t="s">
        <v>1529</v>
      </c>
      <c r="BB24" s="1214" t="s">
        <v>1530</v>
      </c>
      <c r="BC24" s="1214" t="s">
        <v>1531</v>
      </c>
      <c r="BE24" s="1214">
        <v>2022</v>
      </c>
      <c r="BH24" s="1216" t="s">
        <v>1457</v>
      </c>
      <c r="BJ24" s="1216" t="s">
        <v>1415</v>
      </c>
      <c r="BL24" s="1216" t="s">
        <v>1415</v>
      </c>
      <c r="BQ24" s="1214">
        <v>4190069</v>
      </c>
      <c r="BR24" s="1216" t="s">
        <v>1532</v>
      </c>
      <c r="BS24" s="1219"/>
      <c r="BT24" s="1214">
        <v>4189676</v>
      </c>
      <c r="BU24" s="1216" t="s">
        <v>1533</v>
      </c>
      <c r="BV24" s="254"/>
      <c r="BW24" s="254"/>
      <c r="CC24" s="1214">
        <v>25575374</v>
      </c>
      <c r="CD24" s="1216" t="s">
        <v>1534</v>
      </c>
    </row>
    <row r="25" ht="11.25" customHeight="1">
      <c r="A25" s="142" t="s">
        <v>1535</v>
      </c>
      <c r="B25" s="1201">
        <v>2023</v>
      </c>
      <c r="AW25" s="1214" t="s">
        <v>1536</v>
      </c>
      <c r="AX25" s="1214" t="s">
        <v>1536</v>
      </c>
      <c r="AZ25" s="1214" t="s">
        <v>1537</v>
      </c>
      <c r="BB25" s="1214" t="s">
        <v>1538</v>
      </c>
      <c r="BC25" s="1214" t="s">
        <v>1531</v>
      </c>
      <c r="BE25" s="1214">
        <v>2023</v>
      </c>
      <c r="BH25" s="1216" t="s">
        <v>1464</v>
      </c>
      <c r="BJ25" s="1216" t="s">
        <v>1488</v>
      </c>
      <c r="BL25" s="1216" t="s">
        <v>1488</v>
      </c>
      <c r="BQ25" s="1214">
        <v>4190070</v>
      </c>
      <c r="BR25" s="1216" t="s">
        <v>1539</v>
      </c>
      <c r="BS25" s="1219"/>
      <c r="BT25" s="1214">
        <v>4189677</v>
      </c>
      <c r="BU25" s="1216" t="s">
        <v>1540</v>
      </c>
      <c r="BV25" s="254"/>
      <c r="BW25" s="254"/>
    </row>
    <row r="26" ht="11.25" customHeight="1">
      <c r="A26" s="142" t="s">
        <v>1541</v>
      </c>
      <c r="B26" s="1201">
        <v>2024</v>
      </c>
      <c r="J26" s="1236" t="s">
        <v>1542</v>
      </c>
      <c r="AX26" s="1214" t="s">
        <v>1543</v>
      </c>
      <c r="AZ26" s="1214" t="s">
        <v>1408</v>
      </c>
      <c r="BB26" s="1214" t="s">
        <v>1544</v>
      </c>
      <c r="BC26" s="1214" t="s">
        <v>1531</v>
      </c>
      <c r="BE26" s="1214">
        <v>2024</v>
      </c>
      <c r="BH26" s="1216" t="s">
        <v>1474</v>
      </c>
      <c r="BJ26" s="1216" t="s">
        <v>1426</v>
      </c>
      <c r="BL26" s="1216" t="s">
        <v>1426</v>
      </c>
      <c r="BQ26" s="1214">
        <v>4190071</v>
      </c>
      <c r="BR26" s="1216" t="s">
        <v>1545</v>
      </c>
      <c r="BS26" s="1219"/>
      <c r="BV26" s="254"/>
      <c r="BW26" s="254"/>
    </row>
    <row r="27" ht="11.25" customHeight="1">
      <c r="A27" s="142" t="s">
        <v>1546</v>
      </c>
      <c r="B27" s="1201">
        <v>2025</v>
      </c>
      <c r="J27" s="148" t="s">
        <v>100</v>
      </c>
      <c r="AX27" s="1214" t="s">
        <v>1547</v>
      </c>
      <c r="BB27" s="1214" t="s">
        <v>1548</v>
      </c>
      <c r="BC27" s="1214" t="s">
        <v>1531</v>
      </c>
      <c r="BE27" s="1214">
        <v>2025</v>
      </c>
      <c r="BH27" s="254" t="s">
        <v>18</v>
      </c>
      <c r="BJ27" s="1216" t="s">
        <v>1433</v>
      </c>
      <c r="BL27" s="1216" t="s">
        <v>1433</v>
      </c>
      <c r="BN27" s="254" t="s">
        <v>18</v>
      </c>
      <c r="BQ27" s="1214">
        <v>4190072</v>
      </c>
      <c r="BR27" s="1216" t="s">
        <v>1549</v>
      </c>
      <c r="BS27" s="1219"/>
      <c r="BV27" s="254"/>
      <c r="BW27" s="254"/>
    </row>
    <row r="28" ht="11.25" customHeight="1">
      <c r="A28" s="142" t="s">
        <v>1550</v>
      </c>
      <c r="D28" s="142"/>
      <c r="E28" s="1237"/>
      <c r="F28" s="1237"/>
      <c r="H28" s="252" t="s">
        <v>1551</v>
      </c>
      <c r="AX28" s="1214" t="s">
        <v>1552</v>
      </c>
      <c r="AZ28" s="1194" t="s">
        <v>1553</v>
      </c>
      <c r="BB28" s="1214" t="s">
        <v>1554</v>
      </c>
      <c r="BC28" s="1214" t="s">
        <v>1555</v>
      </c>
      <c r="BE28" s="1214">
        <v>2026</v>
      </c>
      <c r="BH28" s="254" t="s">
        <v>18</v>
      </c>
      <c r="BJ28" s="1216" t="s">
        <v>1440</v>
      </c>
      <c r="BL28" s="1216" t="s">
        <v>1440</v>
      </c>
      <c r="BN28" s="254" t="s">
        <v>18</v>
      </c>
      <c r="BQ28" s="1214">
        <v>4190073</v>
      </c>
      <c r="BR28" s="1216" t="s">
        <v>1556</v>
      </c>
      <c r="BS28" s="1219"/>
      <c r="BV28" s="254"/>
      <c r="BW28" s="254"/>
    </row>
    <row r="29" ht="11.25" customHeight="1">
      <c r="A29" s="142" t="s">
        <v>1557</v>
      </c>
      <c r="D29" s="1238" t="s">
        <v>1558</v>
      </c>
      <c r="E29" s="1239" t="str">
        <f>IF(TEMPLATE_GROUP="","",INDEX(StartDateList,MATCH(TEMPLATE_GROUP,CodeTemplateList,0),1))</f>
        <v>01.10.2023</v>
      </c>
      <c r="F29" s="1239" t="str">
        <f>IF(TEMPLATE_GROUP="","",INDEX(EndDateList,MATCH(TEMPLATE_GROUP,CodeTemplateList,0),1))</f>
        <v>31.12.2023</v>
      </c>
      <c r="H29" s="1240" t="s">
        <v>1559</v>
      </c>
      <c r="AX29" s="1214" t="s">
        <v>1560</v>
      </c>
      <c r="AZ29" s="1214" t="s">
        <v>1208</v>
      </c>
      <c r="BB29" s="1214" t="s">
        <v>1408</v>
      </c>
      <c r="BC29" s="106"/>
      <c r="BE29" s="1214">
        <v>2027</v>
      </c>
      <c r="BJ29" s="1216" t="s">
        <v>1448</v>
      </c>
      <c r="BL29" s="1216" t="s">
        <v>1448</v>
      </c>
    </row>
    <row r="30" ht="11.25" customHeight="1">
      <c r="A30" s="142" t="s">
        <v>14</v>
      </c>
      <c r="D30" s="1241"/>
      <c r="E30" s="268"/>
      <c r="F30" s="268"/>
      <c r="AX30" s="1214" t="s">
        <v>1561</v>
      </c>
      <c r="AZ30" s="1214" t="s">
        <v>1236</v>
      </c>
      <c r="BE30" s="1214">
        <v>2028</v>
      </c>
      <c r="BJ30" s="1216" t="s">
        <v>1562</v>
      </c>
      <c r="BL30" s="1216" t="s">
        <v>1562</v>
      </c>
    </row>
    <row r="31" ht="12.75" customHeight="1">
      <c r="A31" s="142" t="s">
        <v>1563</v>
      </c>
      <c r="D31" s="142"/>
      <c r="E31" s="1237"/>
      <c r="F31" s="1237"/>
      <c r="H31" s="1242"/>
      <c r="AX31" s="1214" t="s">
        <v>1564</v>
      </c>
      <c r="AZ31" s="1214" t="s">
        <v>1565</v>
      </c>
      <c r="BE31" s="1214">
        <v>2029</v>
      </c>
      <c r="BJ31" s="1216" t="s">
        <v>1566</v>
      </c>
      <c r="BL31" s="1216" t="s">
        <v>1566</v>
      </c>
    </row>
    <row r="32" ht="11.25" customHeight="1">
      <c r="A32" s="142" t="s">
        <v>1567</v>
      </c>
      <c r="D32" s="1238" t="s">
        <v>1568</v>
      </c>
      <c r="E32" s="1239" t="str">
        <f>IF(TEMPLATE_GROUP="","",INDEX(StartDateList,MATCH(TEMPLATE_GROUP,CodeTemplateList,0),1))</f>
        <v>01.10.2023</v>
      </c>
      <c r="F32" s="1239" t="str">
        <f>IF(TEMPLATE_GROUP="","",INDEX(EndDateList,MATCH(TEMPLATE_GROUP,CodeTemplateList,0),1))</f>
        <v>31.12.2023</v>
      </c>
      <c r="H32" s="1243" t="s">
        <v>1569</v>
      </c>
      <c r="O32" s="142" t="s">
        <v>1206</v>
      </c>
      <c r="AX32" s="1214" t="s">
        <v>1570</v>
      </c>
      <c r="AZ32" s="1214" t="s">
        <v>1302</v>
      </c>
      <c r="BE32" s="1214">
        <v>2030</v>
      </c>
      <c r="BJ32" s="1216" t="s">
        <v>1457</v>
      </c>
      <c r="BL32" s="1216" t="s">
        <v>1457</v>
      </c>
    </row>
    <row r="33" ht="11.25" customHeight="1">
      <c r="A33" s="142" t="s">
        <v>1571</v>
      </c>
      <c r="O33" s="142" t="s">
        <v>1233</v>
      </c>
      <c r="AX33" s="1214" t="s">
        <v>1572</v>
      </c>
      <c r="AZ33" s="1214" t="s">
        <v>1207</v>
      </c>
      <c r="BE33" s="1214">
        <v>2031</v>
      </c>
      <c r="BJ33" s="1216" t="s">
        <v>1464</v>
      </c>
      <c r="BL33" s="1216" t="s">
        <v>1464</v>
      </c>
    </row>
    <row r="34" ht="11.25" customHeight="1">
      <c r="A34" s="142" t="s">
        <v>1573</v>
      </c>
      <c r="O34" s="142" t="s">
        <v>1268</v>
      </c>
      <c r="AX34" s="1214" t="s">
        <v>1574</v>
      </c>
      <c r="BE34" s="1214">
        <v>2032</v>
      </c>
      <c r="BJ34" s="1216" t="s">
        <v>1474</v>
      </c>
      <c r="BL34" s="1216" t="s">
        <v>1474</v>
      </c>
    </row>
    <row r="35" ht="11.25" customHeight="1">
      <c r="A35" s="142" t="s">
        <v>1575</v>
      </c>
      <c r="O35" s="142" t="s">
        <v>1300</v>
      </c>
      <c r="AX35" s="1214" t="s">
        <v>1576</v>
      </c>
      <c r="AZ35" s="1194" t="s">
        <v>1577</v>
      </c>
      <c r="BE35" s="1214">
        <v>2033</v>
      </c>
      <c r="BL35" s="1216" t="s">
        <v>1578</v>
      </c>
    </row>
    <row r="36" ht="11.25" customHeight="1">
      <c r="A36" s="1234" t="s">
        <v>1579</v>
      </c>
      <c r="D36" s="1244" t="s">
        <v>1580</v>
      </c>
      <c r="E36" s="1245" t="s">
        <v>704</v>
      </c>
      <c r="F36" s="1213" t="str">
        <f>INDEX(E37:E41,MATCH(TEMPLATE_SPHERE,F37:F41,0))</f>
        <v>теплоснабжения</v>
      </c>
      <c r="G36" s="1213" t="str">
        <f>INDEX(G37:G41,MATCH(TEMPLATE_SPHERE,F37:F41,0))</f>
        <v>теплоснабжение</v>
      </c>
      <c r="O36" s="142" t="s">
        <v>1325</v>
      </c>
      <c r="AX36" s="1214" t="s">
        <v>1581</v>
      </c>
      <c r="AZ36" s="1214" t="s">
        <v>1207</v>
      </c>
      <c r="BE36" s="1214">
        <v>2034</v>
      </c>
      <c r="BL36" s="1216" t="s">
        <v>1582</v>
      </c>
    </row>
    <row r="37" ht="11.25" customHeight="1">
      <c r="A37" s="142" t="s">
        <v>1583</v>
      </c>
      <c r="E37" s="1246" t="s">
        <v>1584</v>
      </c>
      <c r="F37" s="1247" t="s">
        <v>704</v>
      </c>
      <c r="G37" s="1246" t="s">
        <v>1585</v>
      </c>
      <c r="O37" s="142" t="s">
        <v>1344</v>
      </c>
      <c r="AX37" s="1214" t="s">
        <v>1586</v>
      </c>
      <c r="AZ37" s="1214" t="s">
        <v>1235</v>
      </c>
      <c r="BE37" s="1214">
        <v>2035</v>
      </c>
    </row>
    <row r="38" ht="11.25" customHeight="1">
      <c r="A38" s="142" t="s">
        <v>1587</v>
      </c>
      <c r="E38" s="1246" t="s">
        <v>1588</v>
      </c>
      <c r="F38" s="1248" t="s">
        <v>750</v>
      </c>
      <c r="G38" s="1246" t="s">
        <v>1589</v>
      </c>
      <c r="O38" s="142" t="s">
        <v>1360</v>
      </c>
      <c r="AX38" s="1214" t="s">
        <v>1590</v>
      </c>
      <c r="AZ38" s="1214" t="s">
        <v>1269</v>
      </c>
      <c r="BE38" s="1214">
        <v>2036</v>
      </c>
      <c r="BH38" s="1194" t="s">
        <v>1591</v>
      </c>
      <c r="BJ38" s="1194" t="s">
        <v>1592</v>
      </c>
      <c r="BL38" s="1194" t="s">
        <v>1593</v>
      </c>
      <c r="BN38" s="1194" t="s">
        <v>1594</v>
      </c>
    </row>
    <row r="39" ht="11.25" customHeight="1">
      <c r="A39" s="142" t="s">
        <v>1595</v>
      </c>
      <c r="E39" s="1246" t="s">
        <v>1596</v>
      </c>
      <c r="F39" s="1248" t="s">
        <v>802</v>
      </c>
      <c r="G39" s="1246" t="s">
        <v>1597</v>
      </c>
      <c r="O39" s="142" t="s">
        <v>1376</v>
      </c>
      <c r="AX39" s="1214" t="s">
        <v>1598</v>
      </c>
      <c r="AZ39" s="1214" t="s">
        <v>1301</v>
      </c>
      <c r="BE39" s="1214">
        <v>2037</v>
      </c>
      <c r="BH39" s="1216" t="s">
        <v>1599</v>
      </c>
      <c r="BJ39" s="1231" t="s">
        <v>1599</v>
      </c>
      <c r="BL39" s="1231" t="s">
        <v>1599</v>
      </c>
      <c r="BN39" s="1216" t="s">
        <v>1600</v>
      </c>
    </row>
    <row r="40" ht="11.25" customHeight="1">
      <c r="A40" s="142" t="s">
        <v>1601</v>
      </c>
      <c r="E40" s="1246" t="s">
        <v>1602</v>
      </c>
      <c r="F40" s="1248" t="s">
        <v>788</v>
      </c>
      <c r="G40" s="1246" t="s">
        <v>1603</v>
      </c>
      <c r="O40" s="142" t="s">
        <v>1392</v>
      </c>
      <c r="AX40" s="1214" t="s">
        <v>1604</v>
      </c>
      <c r="BE40" s="1214">
        <v>2038</v>
      </c>
      <c r="BH40" s="1216" t="s">
        <v>1605</v>
      </c>
      <c r="BJ40" s="1231" t="s">
        <v>924</v>
      </c>
      <c r="BL40" s="1231" t="s">
        <v>924</v>
      </c>
      <c r="BN40" s="1216" t="s">
        <v>958</v>
      </c>
    </row>
    <row r="41" ht="11.25" customHeight="1">
      <c r="A41" s="142" t="s">
        <v>1606</v>
      </c>
      <c r="E41" s="1246" t="s">
        <v>1607</v>
      </c>
      <c r="F41" s="1248" t="s">
        <v>1608</v>
      </c>
      <c r="G41" s="1246" t="s">
        <v>1607</v>
      </c>
      <c r="O41" s="142" t="s">
        <v>1408</v>
      </c>
      <c r="AX41" s="1214" t="s">
        <v>1609</v>
      </c>
      <c r="AZ41" s="1194" t="s">
        <v>1610</v>
      </c>
      <c r="BE41" s="1214">
        <v>2039</v>
      </c>
      <c r="BH41" s="1216" t="s">
        <v>1611</v>
      </c>
      <c r="BJ41" s="1231" t="s">
        <v>920</v>
      </c>
      <c r="BL41" s="1231" t="s">
        <v>920</v>
      </c>
      <c r="BN41" s="1216" t="s">
        <v>945</v>
      </c>
    </row>
    <row r="42" ht="11.25" customHeight="1">
      <c r="A42" s="142" t="s">
        <v>1612</v>
      </c>
      <c r="AX42" s="1214" t="s">
        <v>1613</v>
      </c>
      <c r="AZ42" s="1214" t="s">
        <v>1206</v>
      </c>
      <c r="BE42" s="1214">
        <v>2040</v>
      </c>
      <c r="BH42" s="1216" t="s">
        <v>942</v>
      </c>
      <c r="BJ42" s="1231" t="s">
        <v>922</v>
      </c>
      <c r="BL42" s="1231" t="s">
        <v>922</v>
      </c>
      <c r="BN42" s="1216" t="s">
        <v>1614</v>
      </c>
    </row>
    <row r="43" ht="11.25" customHeight="1">
      <c r="A43" s="142" t="s">
        <v>1615</v>
      </c>
      <c r="AX43" s="1214" t="s">
        <v>1616</v>
      </c>
      <c r="AZ43" s="1214" t="s">
        <v>1233</v>
      </c>
      <c r="BE43" s="1214">
        <v>2041</v>
      </c>
      <c r="BH43" s="1216" t="s">
        <v>1617</v>
      </c>
      <c r="BJ43" s="1231" t="s">
        <v>1611</v>
      </c>
      <c r="BL43" s="1231" t="s">
        <v>1611</v>
      </c>
      <c r="BN43" s="1216" t="s">
        <v>1618</v>
      </c>
    </row>
    <row r="44" ht="11.25" customHeight="1">
      <c r="A44" s="142" t="s">
        <v>1619</v>
      </c>
      <c r="I44" s="1249" t="s">
        <v>1620</v>
      </c>
      <c r="J44" s="1230" t="s">
        <v>1621</v>
      </c>
      <c r="K44" s="1230" t="s">
        <v>1622</v>
      </c>
      <c r="AX44" s="1214" t="s">
        <v>1623</v>
      </c>
      <c r="AZ44" s="1214" t="s">
        <v>1268</v>
      </c>
      <c r="BE44" s="1214">
        <v>2042</v>
      </c>
      <c r="BH44" s="1216" t="s">
        <v>1624</v>
      </c>
      <c r="BJ44" s="1231" t="s">
        <v>942</v>
      </c>
      <c r="BL44" s="1231" t="s">
        <v>942</v>
      </c>
      <c r="BN44" s="1216" t="s">
        <v>1625</v>
      </c>
    </row>
    <row r="45" ht="11.25" customHeight="1">
      <c r="A45" s="142" t="s">
        <v>1626</v>
      </c>
      <c r="D45" s="1244" t="s">
        <v>1627</v>
      </c>
      <c r="E45" s="1245" t="s">
        <v>1628</v>
      </c>
      <c r="F45" s="1195" t="s">
        <v>1629</v>
      </c>
      <c r="G45" s="1250" t="s">
        <v>1630</v>
      </c>
      <c r="H45" s="1249" t="s">
        <v>1631</v>
      </c>
      <c r="I45" s="1251">
        <f>INDEX(PeriodIsEmptyList,MATCH(TEMPLATE_GROUP,CodeTemplateList,0),1)</f>
        <v>0</v>
      </c>
      <c r="J45" s="1252" t="str">
        <f>INDEX(NameTemplatesInTitleList,MATCH(TEMPLATE_GROUP,CodeTemplateList,0),1)</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252" t="str">
        <f>"Перечень муниципальных районов и муниципальных образований (территорий "&amp;IF(OR(TEMPLATE_GROUP="P",TEMPLATE_GROUP="R",TEMPLATE_GROUP="Q"),"действия тарифа","оказания услуг")&amp;")"</f>
        <v xml:space="preserve">Перечень муниципальных районов и муниципальных образований (территорий действия тарифа)</v>
      </c>
      <c r="AX45" s="1214" t="s">
        <v>1632</v>
      </c>
      <c r="AZ45" s="1214" t="s">
        <v>1300</v>
      </c>
      <c r="BE45" s="1214">
        <v>2043</v>
      </c>
      <c r="BH45" s="1216" t="s">
        <v>1633</v>
      </c>
      <c r="BJ45" s="1231" t="s">
        <v>936</v>
      </c>
      <c r="BL45" s="1231" t="s">
        <v>936</v>
      </c>
      <c r="BN45" s="1216" t="s">
        <v>1634</v>
      </c>
    </row>
    <row r="46" ht="11.25" customHeight="1">
      <c r="A46" s="142" t="s">
        <v>1635</v>
      </c>
      <c r="E46" s="1246" t="s">
        <v>23</v>
      </c>
      <c r="F46" s="1247" t="s">
        <v>1636</v>
      </c>
      <c r="G46" s="1253"/>
      <c r="H46" s="1253"/>
      <c r="I46" s="1254">
        <f>IF(TITLE_DATE_FIL="",TRUE,FALSE)</f>
        <v>1</v>
      </c>
      <c r="J46" s="1255" t="str">
        <f>"Общая информация о регулируемой организации ("&amp;TEMPLATE_SPHERE_RUS&amp;")"</f>
        <v xml:space="preserve">Общая информация о регулируемой организации (теплоснабжения)</v>
      </c>
      <c r="K46" s="1256"/>
      <c r="AX46" s="1214" t="s">
        <v>1637</v>
      </c>
      <c r="AZ46" s="1214" t="s">
        <v>1325</v>
      </c>
      <c r="BE46" s="1214">
        <v>2044</v>
      </c>
      <c r="BH46" s="1216" t="s">
        <v>945</v>
      </c>
      <c r="BJ46" s="1231" t="s">
        <v>926</v>
      </c>
      <c r="BL46" s="1231" t="s">
        <v>926</v>
      </c>
      <c r="BN46" s="1216" t="s">
        <v>1638</v>
      </c>
    </row>
    <row r="47" ht="11.25" customHeight="1">
      <c r="A47" s="142" t="s">
        <v>1639</v>
      </c>
      <c r="E47" s="1246" t="s">
        <v>29</v>
      </c>
      <c r="F47" s="1248" t="s">
        <v>1628</v>
      </c>
      <c r="G47" s="1257" t="str">
        <f>IF(f_year="","",IF(LEN(f_quart)=0,"",IF(f_quart="I квартал","01.01."&amp;f_year,IF(f_quart="II квартал","01.04."&amp;f_year,(IF(f_quart="III квартал","01.07."&amp;f_year,"01.10."&amp;f_year))))))</f>
        <v>01.10.2023</v>
      </c>
      <c r="H47" s="1257" t="str">
        <f>IF(f_year="","",IF(LEN(f_quart)=0,"",IF(f_quart="I квартал","31.03."&amp;f_year,IF(f_quart="II квартал","30.06."&amp;f_year,(IF(f_quart="III квартал","30.09."&amp;f_year,"31.12."&amp;f_year))))))</f>
        <v>31.12.2023</v>
      </c>
      <c r="I47" s="1258">
        <f>IF(OR(f_year="",f_quart=""),TRUE,FALSE)</f>
        <v>0</v>
      </c>
      <c r="J47" s="12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256"/>
      <c r="AX47" s="1214" t="s">
        <v>1640</v>
      </c>
      <c r="AZ47" s="1214" t="s">
        <v>1344</v>
      </c>
      <c r="BE47" s="1214">
        <v>2045</v>
      </c>
      <c r="BH47" s="1216" t="s">
        <v>1614</v>
      </c>
      <c r="BJ47" s="1231" t="s">
        <v>928</v>
      </c>
      <c r="BL47" s="1231" t="s">
        <v>928</v>
      </c>
      <c r="BN47" s="1216" t="s">
        <v>1641</v>
      </c>
    </row>
    <row r="48" ht="11.25" customHeight="1">
      <c r="A48" s="142" t="s">
        <v>1642</v>
      </c>
      <c r="E48" s="1246" t="s">
        <v>1643</v>
      </c>
      <c r="F48" s="1248" t="s">
        <v>1644</v>
      </c>
      <c r="G48" s="1257" t="str">
        <f t="shared" ref="G48:G50" si="45">IF(f_year="","","01.01."&amp;f_year)</f>
        <v>01.01.2023</v>
      </c>
      <c r="H48" s="1257" t="str">
        <f t="shared" ref="H48:H50" si="46">IF(f_year="","","31.12."&amp;f_year)</f>
        <v>31.12.2023</v>
      </c>
      <c r="I48" s="1254">
        <f t="shared" ref="I48:I50" si="47">IF(f_year="",TRUE,FALSE)</f>
        <v>0</v>
      </c>
      <c r="J48" s="1255" t="s">
        <v>1645</v>
      </c>
      <c r="K48" s="1256"/>
      <c r="AX48" s="1214" t="s">
        <v>1646</v>
      </c>
      <c r="AZ48" s="1214" t="s">
        <v>1360</v>
      </c>
      <c r="BE48" s="1214">
        <v>2046</v>
      </c>
      <c r="BH48" s="1216" t="s">
        <v>1618</v>
      </c>
      <c r="BJ48" s="1231" t="s">
        <v>930</v>
      </c>
      <c r="BL48" s="1231" t="s">
        <v>930</v>
      </c>
      <c r="BN48" s="1216" t="s">
        <v>1647</v>
      </c>
    </row>
    <row r="49" ht="11.25" customHeight="1">
      <c r="A49" s="142" t="s">
        <v>1648</v>
      </c>
      <c r="E49" s="1246" t="s">
        <v>1649</v>
      </c>
      <c r="F49" s="1248" t="s">
        <v>1650</v>
      </c>
      <c r="G49" s="1257" t="str">
        <f t="shared" si="45"/>
        <v>01.01.2023</v>
      </c>
      <c r="H49" s="1257" t="str">
        <f t="shared" si="46"/>
        <v>31.12.2023</v>
      </c>
      <c r="I49" s="1254">
        <f t="shared" si="47"/>
        <v>0</v>
      </c>
      <c r="J49" s="1255" t="str">
        <f>"Информация об условиях, на которых осуществляется поставка товаров (оказание услуг) в сфере "&amp;TEMPLATE_SPHERE_RUS</f>
        <v xml:space="preserve">Информация об условиях, на которых осуществляется поставка товаров (оказание услуг) в сфере теплоснабжения</v>
      </c>
      <c r="K49" s="1256"/>
      <c r="AX49" s="1214" t="s">
        <v>1651</v>
      </c>
      <c r="AZ49" s="1214" t="s">
        <v>1376</v>
      </c>
      <c r="BE49" s="1214">
        <v>2047</v>
      </c>
      <c r="BH49" s="1216" t="s">
        <v>946</v>
      </c>
      <c r="BJ49" s="1231" t="s">
        <v>932</v>
      </c>
      <c r="BL49" s="1231" t="s">
        <v>932</v>
      </c>
    </row>
    <row r="50" ht="11.25" customHeight="1">
      <c r="A50" s="142" t="s">
        <v>1652</v>
      </c>
      <c r="E50" s="1246" t="s">
        <v>1653</v>
      </c>
      <c r="F50" s="1248" t="s">
        <v>916</v>
      </c>
      <c r="G50" s="1257" t="str">
        <f t="shared" si="45"/>
        <v>01.01.2023</v>
      </c>
      <c r="H50" s="1257" t="str">
        <f t="shared" si="46"/>
        <v>31.12.2023</v>
      </c>
      <c r="I50" s="1254">
        <f t="shared" si="47"/>
        <v>0</v>
      </c>
      <c r="J50" s="1255" t="str">
        <f>"Информация об инвестиционных программах регулируемой организации в области "&amp;TEMPLATE_SPHERE_RUS</f>
        <v xml:space="preserve">Информация об инвестиционных программах регулируемой организации в области теплоснабжения</v>
      </c>
      <c r="K50" s="1256"/>
      <c r="AX50" s="1214" t="s">
        <v>1654</v>
      </c>
      <c r="AZ50" s="1214" t="s">
        <v>1392</v>
      </c>
      <c r="BE50" s="1214">
        <v>2048</v>
      </c>
      <c r="BH50" s="1216" t="s">
        <v>1625</v>
      </c>
      <c r="BJ50" s="1231" t="s">
        <v>934</v>
      </c>
      <c r="BL50" s="1231" t="s">
        <v>934</v>
      </c>
    </row>
    <row r="51" ht="11.25" customHeight="1">
      <c r="A51" s="142" t="s">
        <v>1655</v>
      </c>
      <c r="E51" s="1246" t="s">
        <v>1656</v>
      </c>
      <c r="F51" s="1248" t="s">
        <v>1657</v>
      </c>
      <c r="G51" s="1257" t="str">
        <f t="shared" ref="G51:G52" si="48">IF(TITLE_PERIOD_START="","",TITLE_PERIOD_START)</f>
        <v/>
      </c>
      <c r="H51" s="1257" t="str">
        <f t="shared" ref="H51:H52" si="49">IF(TITLE_PERIOD_END="","",TITLE_PERIOD_END)</f>
        <v/>
      </c>
      <c r="I51" s="1258">
        <f t="shared" ref="I51:I52" si="50">IF(OR(TITLE_PERIOD_START="",TITLE_PERIOD_END=""),TRUE,FALSE)</f>
        <v>1</v>
      </c>
      <c r="J51" s="12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256"/>
      <c r="AX51" s="1214" t="s">
        <v>1658</v>
      </c>
      <c r="AZ51" s="1214" t="s">
        <v>1408</v>
      </c>
      <c r="BE51" s="1214">
        <v>2049</v>
      </c>
      <c r="BH51" s="1216" t="s">
        <v>1634</v>
      </c>
      <c r="BJ51" s="1231" t="s">
        <v>1659</v>
      </c>
      <c r="BL51" s="1231" t="s">
        <v>1659</v>
      </c>
    </row>
    <row r="52" ht="11.25" customHeight="1">
      <c r="A52" s="142" t="s">
        <v>1660</v>
      </c>
      <c r="E52" s="1246" t="s">
        <v>1661</v>
      </c>
      <c r="F52" s="1248" t="s">
        <v>1662</v>
      </c>
      <c r="G52" s="1257" t="str">
        <f t="shared" si="48"/>
        <v/>
      </c>
      <c r="H52" s="1257" t="str">
        <f t="shared" si="49"/>
        <v/>
      </c>
      <c r="I52" s="1258">
        <f t="shared" si="50"/>
        <v>1</v>
      </c>
      <c r="J52" s="1255" t="str">
        <f>"Показатели, подлежащие раскрытию в сфере "&amp;TEMPLATE_SPHERE_RUS&amp;" (цены и тарифы)"</f>
        <v xml:space="preserve">Показатели, подлежащие раскрытию в сфере теплоснабжения (цены и тарифы)</v>
      </c>
      <c r="K52" s="1256"/>
      <c r="AX52" s="1214" t="s">
        <v>1663</v>
      </c>
      <c r="AZ52" s="1214" t="s">
        <v>1207</v>
      </c>
      <c r="BE52" s="1214">
        <v>2050</v>
      </c>
      <c r="BH52" s="1216" t="s">
        <v>1638</v>
      </c>
      <c r="BJ52" s="1231" t="s">
        <v>945</v>
      </c>
      <c r="BL52" s="1231" t="s">
        <v>945</v>
      </c>
    </row>
    <row r="53" ht="11.25" customHeight="1">
      <c r="A53" s="142" t="s">
        <v>1664</v>
      </c>
      <c r="E53" s="1246" t="s">
        <v>1665</v>
      </c>
      <c r="F53" s="1248" t="s">
        <v>1665</v>
      </c>
      <c r="G53" s="1257" t="str">
        <f>IF(f_year="","","01.01."&amp;f_year)</f>
        <v>01.01.2023</v>
      </c>
      <c r="H53" s="1257" t="str">
        <f>IF(f_year="","","31.12."&amp;f_year)</f>
        <v>31.12.2023</v>
      </c>
      <c r="I53" s="1254">
        <f>IF(AND(f_year="",TITLE_DATE_FIL=""),TRUE,FALSE)</f>
        <v>0</v>
      </c>
      <c r="J53" s="1255" t="s">
        <v>1666</v>
      </c>
      <c r="K53" s="1256"/>
      <c r="AX53" s="1214" t="s">
        <v>1667</v>
      </c>
      <c r="BE53" s="1214">
        <v>2051</v>
      </c>
      <c r="BH53" s="1216" t="s">
        <v>1641</v>
      </c>
      <c r="BJ53" s="1231" t="s">
        <v>1614</v>
      </c>
      <c r="BL53" s="1231" t="s">
        <v>1614</v>
      </c>
    </row>
    <row r="54" ht="11.25" customHeight="1">
      <c r="A54" s="142" t="s">
        <v>1668</v>
      </c>
      <c r="AX54" s="1214" t="s">
        <v>1669</v>
      </c>
      <c r="AZ54" s="1194" t="s">
        <v>1670</v>
      </c>
      <c r="BE54" s="1214">
        <v>2052</v>
      </c>
      <c r="BH54" s="1216" t="s">
        <v>1647</v>
      </c>
      <c r="BJ54" s="1231" t="s">
        <v>1618</v>
      </c>
      <c r="BL54" s="1231" t="s">
        <v>1618</v>
      </c>
    </row>
    <row r="55" ht="11.25" customHeight="1">
      <c r="A55" s="142" t="s">
        <v>1671</v>
      </c>
      <c r="AX55" s="1214" t="s">
        <v>1672</v>
      </c>
      <c r="AZ55" s="1214" t="s">
        <v>1209</v>
      </c>
      <c r="BE55" s="1214">
        <v>2053</v>
      </c>
      <c r="BH55" s="254" t="s">
        <v>18</v>
      </c>
      <c r="BJ55" s="1231" t="s">
        <v>946</v>
      </c>
      <c r="BL55" s="1231" t="s">
        <v>946</v>
      </c>
    </row>
    <row r="56" ht="11.25" customHeight="1">
      <c r="A56" s="142" t="s">
        <v>1673</v>
      </c>
      <c r="D56" s="1259" t="s">
        <v>1674</v>
      </c>
      <c r="E56" s="1230">
        <v>55</v>
      </c>
      <c r="F56" s="142" t="s">
        <v>1675</v>
      </c>
      <c r="AX56" s="1214" t="s">
        <v>1676</v>
      </c>
      <c r="AZ56" s="1214" t="s">
        <v>1237</v>
      </c>
      <c r="BE56" s="1214">
        <v>2054</v>
      </c>
      <c r="BH56" s="254" t="s">
        <v>18</v>
      </c>
      <c r="BJ56" s="1231" t="s">
        <v>1625</v>
      </c>
      <c r="BL56" s="1231" t="s">
        <v>1625</v>
      </c>
    </row>
    <row r="57" ht="11.25" customHeight="1">
      <c r="A57" s="142" t="s">
        <v>1677</v>
      </c>
      <c r="D57" s="1259" t="s">
        <v>1678</v>
      </c>
      <c r="E57" s="1230">
        <v>66</v>
      </c>
      <c r="F57" s="142" t="s">
        <v>1675</v>
      </c>
      <c r="AX57" s="1214" t="s">
        <v>1679</v>
      </c>
      <c r="AZ57" s="1214" t="s">
        <v>1271</v>
      </c>
      <c r="BE57" s="1214">
        <v>2055</v>
      </c>
      <c r="BJ57" s="1231" t="s">
        <v>1634</v>
      </c>
      <c r="BL57" s="1231" t="s">
        <v>1634</v>
      </c>
    </row>
    <row r="58" ht="11.25" customHeight="1">
      <c r="A58" s="142" t="s">
        <v>1680</v>
      </c>
      <c r="D58" s="1259" t="s">
        <v>1681</v>
      </c>
      <c r="E58" s="1230">
        <v>44</v>
      </c>
      <c r="F58" s="142" t="s">
        <v>1675</v>
      </c>
      <c r="AX58" s="1214" t="s">
        <v>1682</v>
      </c>
      <c r="BE58" s="1214">
        <v>2056</v>
      </c>
      <c r="BJ58" s="1231" t="s">
        <v>1638</v>
      </c>
      <c r="BL58" s="1231" t="s">
        <v>1638</v>
      </c>
    </row>
    <row r="59" ht="11.25" customHeight="1">
      <c r="A59" s="142" t="s">
        <v>1683</v>
      </c>
      <c r="D59" s="1259" t="s">
        <v>133</v>
      </c>
      <c r="E59" s="1230" t="s">
        <v>1505</v>
      </c>
      <c r="F59" s="142" t="s">
        <v>1684</v>
      </c>
      <c r="AX59" s="1214" t="s">
        <v>1685</v>
      </c>
      <c r="AZ59" s="1194" t="s">
        <v>1686</v>
      </c>
      <c r="BE59" s="1214">
        <v>2057</v>
      </c>
      <c r="BJ59" s="1231" t="s">
        <v>1641</v>
      </c>
      <c r="BL59" s="1231" t="s">
        <v>1641</v>
      </c>
    </row>
    <row r="60" ht="11.25" customHeight="1">
      <c r="A60" s="142" t="s">
        <v>1687</v>
      </c>
      <c r="D60" s="1259" t="s">
        <v>1688</v>
      </c>
      <c r="E60" s="1230" t="s">
        <v>1505</v>
      </c>
      <c r="F60" s="142" t="s">
        <v>1684</v>
      </c>
      <c r="AX60" s="1214" t="s">
        <v>1689</v>
      </c>
      <c r="AZ60" s="1214" t="s">
        <v>1210</v>
      </c>
      <c r="BE60" s="1214">
        <v>2058</v>
      </c>
      <c r="BJ60" s="1231" t="s">
        <v>1647</v>
      </c>
      <c r="BL60" s="1231" t="s">
        <v>1647</v>
      </c>
    </row>
    <row r="61" ht="11.25" customHeight="1">
      <c r="A61" s="142" t="s">
        <v>1690</v>
      </c>
      <c r="D61" s="1259" t="s">
        <v>1691</v>
      </c>
      <c r="E61" s="1230">
        <v>26</v>
      </c>
      <c r="F61" s="142" t="s">
        <v>1684</v>
      </c>
      <c r="AX61" s="1214" t="s">
        <v>1692</v>
      </c>
      <c r="AZ61" s="1214" t="s">
        <v>1238</v>
      </c>
      <c r="BE61" s="1214">
        <v>2059</v>
      </c>
      <c r="BL61" s="1231" t="s">
        <v>938</v>
      </c>
    </row>
    <row r="62" ht="11.25" customHeight="1">
      <c r="A62" s="142" t="s">
        <v>1693</v>
      </c>
      <c r="D62" s="1259" t="s">
        <v>132</v>
      </c>
      <c r="E62" s="1230">
        <v>30</v>
      </c>
      <c r="F62" s="142" t="s">
        <v>1684</v>
      </c>
      <c r="AZ62" s="1214" t="s">
        <v>1272</v>
      </c>
      <c r="BE62" s="1214">
        <v>2060</v>
      </c>
      <c r="BL62" s="1231" t="s">
        <v>940</v>
      </c>
    </row>
    <row r="63" ht="11.25" customHeight="1">
      <c r="A63" s="142" t="s">
        <v>1694</v>
      </c>
      <c r="D63" s="1259" t="s">
        <v>1695</v>
      </c>
      <c r="E63" s="1230">
        <v>30</v>
      </c>
      <c r="F63" s="142" t="s">
        <v>1684</v>
      </c>
      <c r="AZ63" s="1214" t="s">
        <v>1303</v>
      </c>
      <c r="BE63" s="1214">
        <v>2061</v>
      </c>
    </row>
    <row r="64" ht="11.25" customHeight="1">
      <c r="A64" s="142" t="s">
        <v>1696</v>
      </c>
      <c r="D64" s="1259" t="s">
        <v>1697</v>
      </c>
      <c r="E64" s="1230">
        <v>30</v>
      </c>
      <c r="F64" s="142" t="s">
        <v>1684</v>
      </c>
      <c r="AZ64" s="1214" t="s">
        <v>1326</v>
      </c>
      <c r="BE64" s="1214">
        <v>2062</v>
      </c>
    </row>
    <row r="65" ht="11.25" customHeight="1">
      <c r="A65" s="142" t="s">
        <v>1698</v>
      </c>
      <c r="D65" s="142"/>
      <c r="BE65" s="1214">
        <v>2063</v>
      </c>
    </row>
    <row r="66" ht="11.25" customHeight="1">
      <c r="A66" s="142" t="s">
        <v>1699</v>
      </c>
      <c r="AZ66" s="1194" t="s">
        <v>1700</v>
      </c>
      <c r="BE66" s="1214">
        <v>2064</v>
      </c>
    </row>
    <row r="67" ht="11.25" customHeight="1">
      <c r="A67" s="142" t="s">
        <v>1701</v>
      </c>
      <c r="AZ67" s="1214" t="s">
        <v>1211</v>
      </c>
      <c r="BE67" s="1214">
        <v>2065</v>
      </c>
    </row>
    <row r="68" ht="11.25" customHeight="1">
      <c r="A68" s="142" t="s">
        <v>1702</v>
      </c>
      <c r="AZ68" s="1214" t="s">
        <v>1239</v>
      </c>
      <c r="BE68" s="1214">
        <v>2066</v>
      </c>
      <c r="BH68" s="1194" t="s">
        <v>1703</v>
      </c>
      <c r="BJ68" s="1194" t="s">
        <v>1704</v>
      </c>
      <c r="BL68" s="1194" t="s">
        <v>1705</v>
      </c>
      <c r="BN68" s="1194" t="s">
        <v>1706</v>
      </c>
    </row>
    <row r="69" ht="11.25" customHeight="1">
      <c r="A69" s="142" t="s">
        <v>1707</v>
      </c>
      <c r="AZ69" s="1214" t="s">
        <v>1273</v>
      </c>
      <c r="BE69" s="1214">
        <v>2067</v>
      </c>
      <c r="BH69" s="1216" t="s">
        <v>1708</v>
      </c>
      <c r="BI69" s="254" t="s">
        <v>111</v>
      </c>
      <c r="BJ69" s="1216" t="s">
        <v>1709</v>
      </c>
      <c r="BK69" s="254" t="s">
        <v>111</v>
      </c>
      <c r="BL69" s="1216" t="s">
        <v>1710</v>
      </c>
      <c r="BN69" s="1216" t="s">
        <v>1711</v>
      </c>
    </row>
    <row r="70" ht="11.25" customHeight="1">
      <c r="A70" s="142" t="s">
        <v>1712</v>
      </c>
      <c r="AZ70" s="1214" t="s">
        <v>1304</v>
      </c>
      <c r="BE70" s="1214">
        <v>2068</v>
      </c>
      <c r="BH70" s="1216" t="s">
        <v>1713</v>
      </c>
      <c r="BJ70" s="1216" t="s">
        <v>1714</v>
      </c>
      <c r="BL70" s="1216" t="s">
        <v>1715</v>
      </c>
      <c r="BN70" s="1216" t="s">
        <v>1716</v>
      </c>
    </row>
    <row r="71" ht="11.25" customHeight="1">
      <c r="A71" s="142" t="s">
        <v>1717</v>
      </c>
      <c r="AZ71" s="1214" t="s">
        <v>1306</v>
      </c>
      <c r="BE71" s="1214">
        <v>2069</v>
      </c>
      <c r="BH71" s="1216" t="s">
        <v>1718</v>
      </c>
      <c r="BI71" s="254" t="s">
        <v>87</v>
      </c>
      <c r="BJ71" s="1216" t="s">
        <v>1719</v>
      </c>
      <c r="BK71" s="254" t="s">
        <v>87</v>
      </c>
      <c r="BL71" s="1216" t="s">
        <v>1720</v>
      </c>
      <c r="BN71" s="1216" t="s">
        <v>1721</v>
      </c>
    </row>
    <row r="72" ht="11.25" customHeight="1">
      <c r="A72" s="142" t="s">
        <v>1722</v>
      </c>
      <c r="AZ72" s="1214" t="s">
        <v>54</v>
      </c>
      <c r="BE72" s="1214">
        <v>2070</v>
      </c>
      <c r="BH72" s="1216" t="s">
        <v>1723</v>
      </c>
      <c r="BJ72" s="1216" t="s">
        <v>1723</v>
      </c>
      <c r="BL72" s="1216" t="s">
        <v>1723</v>
      </c>
      <c r="BN72" s="1216" t="s">
        <v>1724</v>
      </c>
    </row>
    <row r="73" ht="11.25" customHeight="1">
      <c r="A73" s="142" t="s">
        <v>1725</v>
      </c>
      <c r="BH73" s="1216" t="s">
        <v>1726</v>
      </c>
      <c r="BI73" s="254" t="s">
        <v>112</v>
      </c>
      <c r="BJ73" s="1216" t="s">
        <v>1727</v>
      </c>
      <c r="BK73" s="254" t="s">
        <v>112</v>
      </c>
      <c r="BL73" s="1216" t="s">
        <v>1728</v>
      </c>
      <c r="BN73" s="1216" t="s">
        <v>1729</v>
      </c>
    </row>
    <row r="74" ht="11.25" customHeight="1">
      <c r="A74" s="142" t="s">
        <v>1730</v>
      </c>
      <c r="BH74" s="1216" t="s">
        <v>1731</v>
      </c>
      <c r="BJ74" s="1216" t="s">
        <v>1732</v>
      </c>
      <c r="BL74" s="1216" t="s">
        <v>1733</v>
      </c>
      <c r="BN74" s="1216" t="s">
        <v>1734</v>
      </c>
    </row>
    <row r="75" ht="11.25" customHeight="1">
      <c r="A75" s="142" t="s">
        <v>1735</v>
      </c>
      <c r="AZ75" s="1194" t="s">
        <v>1736</v>
      </c>
      <c r="BH75" s="1216" t="s">
        <v>1737</v>
      </c>
      <c r="BJ75" s="1216" t="s">
        <v>1737</v>
      </c>
      <c r="BL75" s="1216" t="s">
        <v>1737</v>
      </c>
    </row>
    <row r="76" ht="11.25" customHeight="1">
      <c r="A76" s="142" t="s">
        <v>1738</v>
      </c>
      <c r="AZ76" s="1214" t="s">
        <v>1220</v>
      </c>
      <c r="BH76" s="1216" t="s">
        <v>1739</v>
      </c>
      <c r="BJ76" s="1216" t="s">
        <v>1740</v>
      </c>
      <c r="BL76" s="1216" t="s">
        <v>1741</v>
      </c>
    </row>
    <row r="77" ht="11.25" customHeight="1">
      <c r="A77" s="142" t="s">
        <v>1742</v>
      </c>
      <c r="AZ77" s="1214" t="s">
        <v>1249</v>
      </c>
    </row>
    <row r="78" ht="11.25" customHeight="1">
      <c r="A78" s="142" t="s">
        <v>1743</v>
      </c>
      <c r="AZ78" s="1214" t="s">
        <v>1280</v>
      </c>
    </row>
    <row r="79" ht="11.25" customHeight="1">
      <c r="A79" s="142" t="s">
        <v>1744</v>
      </c>
      <c r="AZ79" s="1214" t="s">
        <v>1310</v>
      </c>
      <c r="BH79" s="1194" t="s">
        <v>1745</v>
      </c>
      <c r="BJ79" s="1194" t="s">
        <v>1746</v>
      </c>
      <c r="BL79" s="1194" t="s">
        <v>1747</v>
      </c>
    </row>
    <row r="80" ht="11.25" customHeight="1">
      <c r="A80" s="142" t="s">
        <v>1748</v>
      </c>
      <c r="AZ80" s="1214" t="s">
        <v>1331</v>
      </c>
      <c r="BH80" s="1216" t="s">
        <v>1749</v>
      </c>
      <c r="BJ80" s="1216" t="s">
        <v>1750</v>
      </c>
      <c r="BL80" s="1216" t="s">
        <v>1751</v>
      </c>
    </row>
    <row r="81" ht="11.25" customHeight="1">
      <c r="A81" s="142" t="s">
        <v>1752</v>
      </c>
      <c r="AZ81" s="1214" t="s">
        <v>1348</v>
      </c>
      <c r="BH81" s="1216" t="s">
        <v>1753</v>
      </c>
      <c r="BJ81" s="1216" t="s">
        <v>1754</v>
      </c>
      <c r="BL81" s="1216" t="s">
        <v>1755</v>
      </c>
    </row>
    <row r="82" ht="11.25" customHeight="1">
      <c r="A82" s="142" t="s">
        <v>1756</v>
      </c>
      <c r="AZ82" s="1214" t="s">
        <v>1362</v>
      </c>
      <c r="BH82" s="1216" t="s">
        <v>1757</v>
      </c>
      <c r="BJ82" s="1216" t="s">
        <v>1758</v>
      </c>
      <c r="BL82" s="1216" t="s">
        <v>1759</v>
      </c>
    </row>
    <row r="83" ht="11.25" customHeight="1">
      <c r="A83" s="142" t="s">
        <v>1760</v>
      </c>
      <c r="BH83" s="1216" t="s">
        <v>1761</v>
      </c>
      <c r="BJ83" s="1216" t="s">
        <v>1762</v>
      </c>
      <c r="BL83" s="1216" t="s">
        <v>1763</v>
      </c>
    </row>
    <row r="84" ht="11.25" customHeight="1">
      <c r="A84" s="142" t="s">
        <v>1764</v>
      </c>
      <c r="AZ84" s="1194" t="s">
        <v>1765</v>
      </c>
    </row>
    <row r="85" ht="11.25" customHeight="1">
      <c r="A85" s="1234" t="s">
        <v>1766</v>
      </c>
      <c r="AZ85" s="1214" t="s">
        <v>1767</v>
      </c>
    </row>
    <row r="86" ht="11.25" customHeight="1">
      <c r="A86" s="142" t="s">
        <v>1768</v>
      </c>
      <c r="AZ86" s="1214" t="s">
        <v>1769</v>
      </c>
      <c r="BH86" s="1194" t="s">
        <v>1770</v>
      </c>
      <c r="BJ86" s="1194" t="s">
        <v>1771</v>
      </c>
      <c r="BL86" s="1194" t="s">
        <v>1772</v>
      </c>
    </row>
    <row r="87" ht="11.25" customHeight="1">
      <c r="A87" s="142" t="s">
        <v>1773</v>
      </c>
      <c r="AZ87" s="1214" t="s">
        <v>1774</v>
      </c>
      <c r="BH87" s="1216" t="s">
        <v>1775</v>
      </c>
      <c r="BJ87" s="1216" t="s">
        <v>1776</v>
      </c>
      <c r="BL87" s="1216" t="s">
        <v>1777</v>
      </c>
    </row>
    <row r="88" ht="11.25" customHeight="1">
      <c r="A88" s="142" t="s">
        <v>1778</v>
      </c>
      <c r="BH88" s="1216" t="s">
        <v>1779</v>
      </c>
      <c r="BJ88" s="1216" t="s">
        <v>1780</v>
      </c>
      <c r="BL88" s="1216" t="s">
        <v>1781</v>
      </c>
    </row>
    <row r="89" ht="11.25" customHeight="1">
      <c r="A89" s="142" t="s">
        <v>1782</v>
      </c>
      <c r="AZ89" s="1194" t="s">
        <v>1783</v>
      </c>
    </row>
    <row r="90" ht="11.25" customHeight="1">
      <c r="A90" s="142" t="s">
        <v>1784</v>
      </c>
      <c r="AZ90" s="1214" t="s">
        <v>916</v>
      </c>
    </row>
    <row r="91" ht="11.25" customHeight="1">
      <c r="A91" s="142" t="s">
        <v>1785</v>
      </c>
      <c r="AZ91" s="1214" t="s">
        <v>952</v>
      </c>
      <c r="BH91" s="1194" t="s">
        <v>1786</v>
      </c>
      <c r="BJ91" s="1194" t="s">
        <v>1787</v>
      </c>
      <c r="BL91" s="1194" t="s">
        <v>1788</v>
      </c>
    </row>
    <row r="92" ht="11.25" customHeight="1">
      <c r="AZ92" s="1214" t="s">
        <v>1789</v>
      </c>
      <c r="BH92" s="1216" t="s">
        <v>1790</v>
      </c>
      <c r="BJ92" s="1216" t="s">
        <v>1791</v>
      </c>
      <c r="BL92" s="1216" t="s">
        <v>1792</v>
      </c>
    </row>
    <row r="93" ht="11.25" customHeight="1">
      <c r="AZ93" s="1214" t="s">
        <v>1793</v>
      </c>
      <c r="BH93" s="1216" t="s">
        <v>1794</v>
      </c>
      <c r="BJ93" s="1216" t="s">
        <v>1795</v>
      </c>
      <c r="BL93" s="1216" t="s">
        <v>1796</v>
      </c>
    </row>
    <row r="94" ht="11.25" customHeight="1">
      <c r="AZ94" s="1214" t="s">
        <v>1797</v>
      </c>
    </row>
    <row r="96" ht="11.25" customHeight="1">
      <c r="AZ96" s="1194" t="s">
        <v>1798</v>
      </c>
      <c r="BH96" s="1194" t="s">
        <v>1799</v>
      </c>
      <c r="BJ96" s="1194" t="s">
        <v>1800</v>
      </c>
      <c r="BL96" s="1194" t="s">
        <v>1801</v>
      </c>
      <c r="BN96" s="1194" t="s">
        <v>1802</v>
      </c>
    </row>
    <row r="97" ht="11.25" customHeight="1">
      <c r="AZ97" s="1214" t="s">
        <v>1803</v>
      </c>
      <c r="BH97" s="1216" t="s">
        <v>1804</v>
      </c>
      <c r="BJ97" s="1216" t="s">
        <v>1805</v>
      </c>
      <c r="BL97" s="1216" t="s">
        <v>1806</v>
      </c>
      <c r="BN97" s="1216" t="s">
        <v>1807</v>
      </c>
    </row>
    <row r="98" ht="11.25" customHeight="1">
      <c r="AZ98" s="1214" t="s">
        <v>1808</v>
      </c>
      <c r="BH98" s="1216" t="s">
        <v>1809</v>
      </c>
      <c r="BJ98" s="1216" t="s">
        <v>1810</v>
      </c>
      <c r="BL98" s="1216" t="s">
        <v>1811</v>
      </c>
      <c r="BN98" s="1216" t="s">
        <v>1812</v>
      </c>
    </row>
    <row r="99" ht="11.25" customHeight="1">
      <c r="AZ99" s="1214" t="s">
        <v>1813</v>
      </c>
      <c r="BH99" s="1216" t="s">
        <v>1814</v>
      </c>
      <c r="BJ99" s="1216" t="s">
        <v>1815</v>
      </c>
      <c r="BL99" s="1216" t="s">
        <v>1816</v>
      </c>
      <c r="BN99" s="1216" t="s">
        <v>1817</v>
      </c>
    </row>
    <row r="100" ht="11.25" customHeight="1">
      <c r="BJ100" s="1216" t="s">
        <v>1408</v>
      </c>
      <c r="BL100" s="1216" t="s">
        <v>1408</v>
      </c>
      <c r="BN100" s="1216" t="s">
        <v>1818</v>
      </c>
    </row>
    <row r="101" ht="11.25" customHeight="1">
      <c r="AZ101" s="1194" t="s">
        <v>1819</v>
      </c>
      <c r="BN101" s="1216" t="s">
        <v>1820</v>
      </c>
    </row>
    <row r="102" ht="11.25" customHeight="1">
      <c r="AZ102" s="1214" t="s">
        <v>1821</v>
      </c>
      <c r="BN102" s="1216" t="s">
        <v>1822</v>
      </c>
    </row>
    <row r="103" ht="11.25" customHeight="1">
      <c r="AZ103" s="1214" t="s">
        <v>1823</v>
      </c>
      <c r="BN103" s="1216" t="s">
        <v>1824</v>
      </c>
    </row>
    <row r="104" ht="11.25" customHeight="1">
      <c r="AZ104" s="1214" t="s">
        <v>553</v>
      </c>
      <c r="BN104" s="1216" t="s">
        <v>1825</v>
      </c>
    </row>
    <row r="107" ht="11.25" customHeight="1">
      <c r="BH107" s="1194" t="s">
        <v>1826</v>
      </c>
      <c r="BJ107" s="1194" t="s">
        <v>1827</v>
      </c>
      <c r="BL107" s="1194" t="s">
        <v>1828</v>
      </c>
      <c r="BN107" s="1194" t="s">
        <v>1829</v>
      </c>
    </row>
    <row r="108" ht="11.25" customHeight="1">
      <c r="BH108" s="1216" t="s">
        <v>1830</v>
      </c>
      <c r="BJ108" s="1216" t="s">
        <v>1831</v>
      </c>
      <c r="BL108" s="1216" t="s">
        <v>1493</v>
      </c>
      <c r="BN108" s="1216" t="s">
        <v>1832</v>
      </c>
    </row>
    <row r="109" ht="11.25" customHeight="1">
      <c r="BH109" s="1216" t="s">
        <v>1833</v>
      </c>
    </row>
    <row r="110" ht="11.25" customHeight="1">
      <c r="BH110" s="1216" t="s">
        <v>1833</v>
      </c>
    </row>
    <row r="114" ht="11.25" customHeight="1">
      <c r="BH114" s="1194" t="s">
        <v>1834</v>
      </c>
    </row>
    <row r="115" ht="11.25" customHeight="1">
      <c r="BH115" s="1216" t="s">
        <v>1207</v>
      </c>
    </row>
    <row r="116" ht="11.25" customHeight="1">
      <c r="BH116" s="1216" t="s">
        <v>1235</v>
      </c>
    </row>
    <row r="117" ht="11.25" customHeight="1">
      <c r="BH117" s="1216" t="s">
        <v>1269</v>
      </c>
    </row>
    <row r="118" ht="11.25" customHeight="1">
      <c r="BH118" s="1216" t="s">
        <v>1301</v>
      </c>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43.140625" defaultRowHeight="9" customHeight="1"/>
  <cols>
    <col min="1" max="1" style="1260" width="43.140625"/>
    <col hidden="1" min="2" max="2" style="1260" width="43.140625"/>
    <col min="3" max="3" style="1260" width="43.140625"/>
    <col customWidth="1" min="4" max="5" style="1260" width="36.421875"/>
    <col customWidth="1" min="6" max="8" style="1261" width="36.421875"/>
  </cols>
  <sheetData>
    <row r="1" ht="9" customHeight="1">
      <c r="A1" s="1262" t="s">
        <v>1835</v>
      </c>
      <c r="B1" s="1262"/>
      <c r="C1" s="1263" t="s">
        <v>1836</v>
      </c>
      <c r="D1" s="1264" t="s">
        <v>704</v>
      </c>
      <c r="E1" s="1264" t="s">
        <v>750</v>
      </c>
      <c r="F1" s="1264" t="s">
        <v>802</v>
      </c>
      <c r="G1" s="1264" t="s">
        <v>788</v>
      </c>
      <c r="H1" s="1264" t="s">
        <v>1608</v>
      </c>
    </row>
    <row r="2" ht="9" customHeight="1">
      <c r="A2" s="1265" t="s">
        <v>1837</v>
      </c>
      <c r="B2" s="1265"/>
      <c r="C2" s="1266" t="str">
        <f>INDEX(TEMPLATE_NUMBER_FORM_LIST,MATCH(TEMPLATE_SPHERE,TEMPLATE_SPHERE_LIST,0))</f>
        <v>16</v>
      </c>
      <c r="D2" s="1265" t="s">
        <v>1459</v>
      </c>
      <c r="E2" s="1265" t="s">
        <v>151</v>
      </c>
      <c r="F2" s="1267" t="s">
        <v>151</v>
      </c>
      <c r="G2" s="1265" t="s">
        <v>151</v>
      </c>
      <c r="H2" s="1268"/>
    </row>
    <row r="3" ht="63" customHeight="1">
      <c r="A3" s="1262"/>
      <c r="B3" s="1262" t="s">
        <v>111</v>
      </c>
      <c r="C3" s="1266" t="str">
        <f t="shared" ref="C3:C5" si="51">IF(TEMPLATE_SPHERE="HEAT",D3,IF(TEMPLATE_SPHERE="TKO",H3,E3))</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6" t="s">
        <v>1838</v>
      </c>
      <c r="E3" s="126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 xml:space="preserve">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7"/>
      <c r="G3" s="1268"/>
      <c r="H3" s="1262"/>
    </row>
    <row r="4" ht="243" customHeight="1">
      <c r="A4" s="1262" t="s">
        <v>1839</v>
      </c>
      <c r="B4" s="1262" t="s">
        <v>99</v>
      </c>
      <c r="C4" s="1266" t="str">
        <f t="shared" si="51"/>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5" t="s">
        <v>1840</v>
      </c>
      <c r="E4" s="1266"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4" s="1265"/>
      <c r="G4" s="1265"/>
      <c r="H4" s="1262" t="s">
        <v>1841</v>
      </c>
    </row>
    <row r="5" ht="117" customHeight="1">
      <c r="A5" s="1262" t="s">
        <v>1842</v>
      </c>
      <c r="B5" s="1262" t="s">
        <v>87</v>
      </c>
      <c r="C5" s="1266" t="str">
        <f t="shared" si="51"/>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62" t="s">
        <v>1843</v>
      </c>
      <c r="E5" s="12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68"/>
      <c r="G5" s="1268"/>
      <c r="H5" s="1262" t="s">
        <v>1844</v>
      </c>
    </row>
    <row r="6" ht="45" customHeight="1">
      <c r="A6" s="1262" t="s">
        <v>1845</v>
      </c>
      <c r="B6" s="1262" t="s">
        <v>88</v>
      </c>
      <c r="C6" s="1266" t="str">
        <f t="shared" ref="C6:C8" si="52">IF(TEMPLATE_SPHERE="HEAT",D6,E6)</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62" t="s">
        <v>1846</v>
      </c>
      <c r="E6" s="12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 xml:space="preserve">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62"/>
      <c r="G6" s="1262"/>
      <c r="H6" s="1268"/>
    </row>
    <row r="7" ht="45" customHeight="1">
      <c r="A7" s="1262" t="s">
        <v>1847</v>
      </c>
      <c r="B7" s="1262" t="s">
        <v>112</v>
      </c>
      <c r="C7" s="1266" t="str">
        <f t="shared" si="52"/>
        <v xml:space="preserve">Форма 11. Информация о расходах на капитальный и текущий ремонт основных средств</v>
      </c>
      <c r="D7" s="1262" t="s">
        <v>1848</v>
      </c>
      <c r="E7" s="1262" t="s">
        <v>1849</v>
      </c>
      <c r="F7" s="1268"/>
      <c r="G7" s="1268"/>
      <c r="H7" s="1268"/>
    </row>
    <row r="8" ht="108" customHeight="1">
      <c r="A8" s="1262" t="s">
        <v>1850</v>
      </c>
      <c r="B8" s="1262" t="s">
        <v>89</v>
      </c>
      <c r="C8" s="1266" t="str">
        <f t="shared" si="52"/>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62" t="s">
        <v>1851</v>
      </c>
      <c r="E8" s="1262" t="s">
        <v>1852</v>
      </c>
      <c r="F8" s="1268"/>
      <c r="G8" s="1268"/>
      <c r="H8" s="1268"/>
    </row>
    <row r="9" ht="99" customHeight="1">
      <c r="A9" s="1262" t="s">
        <v>1853</v>
      </c>
      <c r="B9" s="1262"/>
      <c r="C9" s="1262" t="s">
        <v>1854</v>
      </c>
      <c r="D9" s="1262"/>
      <c r="E9" s="1262"/>
      <c r="F9" s="1268"/>
      <c r="G9" s="1268"/>
      <c r="H9" s="1268"/>
    </row>
    <row r="10" ht="126" customHeight="1">
      <c r="A10" s="1262" t="s">
        <v>1855</v>
      </c>
      <c r="B10" s="1262"/>
      <c r="C10" s="1262" t="s">
        <v>1856</v>
      </c>
      <c r="D10" s="1262"/>
      <c r="E10" s="1262"/>
      <c r="F10" s="1268"/>
      <c r="G10" s="1268"/>
      <c r="H10" s="1268"/>
    </row>
    <row r="11" ht="108" customHeight="1">
      <c r="A11" s="1262" t="s">
        <v>1857</v>
      </c>
      <c r="B11" s="1262"/>
      <c r="C11" s="1262" t="s">
        <v>1858</v>
      </c>
      <c r="D11" s="1262"/>
      <c r="E11" s="1262"/>
      <c r="F11" s="1268"/>
      <c r="G11" s="1268"/>
      <c r="H11" s="1268"/>
    </row>
    <row r="12" ht="54" customHeight="1">
      <c r="A12" s="1262" t="s">
        <v>1859</v>
      </c>
      <c r="B12" s="1262"/>
      <c r="C12" s="1262" t="s">
        <v>1860</v>
      </c>
      <c r="D12" s="1262"/>
      <c r="E12" s="1262"/>
      <c r="F12" s="1268"/>
      <c r="G12" s="1268"/>
      <c r="H12" s="1268"/>
    </row>
    <row r="13" ht="45" customHeight="1">
      <c r="A13" s="1262" t="s">
        <v>1861</v>
      </c>
      <c r="B13" s="1262"/>
      <c r="C13" s="1262" t="s">
        <v>1862</v>
      </c>
      <c r="D13" s="1262"/>
      <c r="E13" s="1262"/>
      <c r="F13" s="1268"/>
      <c r="G13" s="1268"/>
      <c r="H13" s="1268"/>
    </row>
    <row r="14" ht="117" customHeight="1">
      <c r="A14" s="1262" t="s">
        <v>1863</v>
      </c>
      <c r="B14" s="1262"/>
      <c r="C14" s="1262" t="s">
        <v>1864</v>
      </c>
      <c r="D14" s="1262"/>
      <c r="E14" s="1262"/>
      <c r="F14" s="1268"/>
      <c r="G14" s="1268"/>
      <c r="H14" s="1268"/>
    </row>
    <row r="15" ht="117" customHeight="1">
      <c r="A15" s="1262" t="s">
        <v>1865</v>
      </c>
      <c r="B15" s="1262"/>
      <c r="C15" s="1262" t="s">
        <v>1866</v>
      </c>
      <c r="D15" s="1262"/>
      <c r="E15" s="1262"/>
      <c r="F15" s="1268"/>
      <c r="G15" s="1268"/>
      <c r="H15" s="1268"/>
    </row>
    <row r="16" ht="63" customHeight="1">
      <c r="A16" s="1262" t="s">
        <v>1867</v>
      </c>
      <c r="B16" s="1262"/>
      <c r="C16" s="1262" t="s">
        <v>1868</v>
      </c>
      <c r="D16" s="1262"/>
      <c r="E16" s="1262"/>
      <c r="F16" s="1268"/>
      <c r="G16" s="1268"/>
      <c r="H16" s="1268"/>
    </row>
    <row r="17" ht="54" customHeight="1">
      <c r="A17" s="1262" t="s">
        <v>1869</v>
      </c>
      <c r="B17" s="1262"/>
      <c r="C17" s="1266" t="s">
        <v>1870</v>
      </c>
      <c r="D17" s="1262"/>
      <c r="E17" s="1262"/>
      <c r="F17" s="1268"/>
      <c r="G17" s="1268"/>
      <c r="H17" s="1268"/>
    </row>
    <row r="18" ht="27" customHeight="1">
      <c r="A18" s="1262" t="s">
        <v>1871</v>
      </c>
      <c r="B18" s="1262"/>
      <c r="C18" s="1266" t="s">
        <v>1872</v>
      </c>
      <c r="D18" s="1262"/>
      <c r="E18" s="1262"/>
      <c r="F18" s="1268"/>
      <c r="G18" s="1268"/>
      <c r="H18" s="1268"/>
    </row>
    <row r="19" ht="54" customHeight="1">
      <c r="A19" s="1262" t="s">
        <v>1873</v>
      </c>
      <c r="B19" s="1262"/>
      <c r="C19" s="1266" t="s">
        <v>1874</v>
      </c>
      <c r="D19" s="1262"/>
      <c r="E19" s="1262"/>
      <c r="F19" s="1268"/>
      <c r="G19" s="1268"/>
      <c r="H19" s="1268"/>
    </row>
    <row r="20" ht="36" customHeight="1">
      <c r="A20" s="1262" t="s">
        <v>1875</v>
      </c>
      <c r="B20" s="1262"/>
      <c r="C20" s="1266" t="s">
        <v>1876</v>
      </c>
      <c r="D20" s="1262"/>
      <c r="E20" s="1262"/>
      <c r="F20" s="1268"/>
      <c r="G20" s="1268"/>
      <c r="H20" s="1268"/>
    </row>
    <row r="21" ht="36" customHeight="1">
      <c r="A21" s="1262" t="s">
        <v>1877</v>
      </c>
      <c r="B21" s="1262"/>
      <c r="C21" s="1266" t="s">
        <v>1878</v>
      </c>
      <c r="D21" s="1262"/>
      <c r="E21" s="1262"/>
      <c r="F21" s="1268"/>
      <c r="G21" s="1268"/>
      <c r="H21" s="1268"/>
    </row>
    <row r="22" ht="27" customHeight="1">
      <c r="A22" s="1262" t="s">
        <v>1879</v>
      </c>
      <c r="B22" s="1262"/>
      <c r="C22" s="1266" t="s">
        <v>1880</v>
      </c>
      <c r="D22" s="1262"/>
      <c r="E22" s="1262"/>
      <c r="F22" s="1268"/>
      <c r="G22" s="1268"/>
      <c r="H22" s="1268"/>
    </row>
    <row r="23" ht="36" customHeight="1">
      <c r="A23" s="1262" t="s">
        <v>1881</v>
      </c>
      <c r="B23" s="1262"/>
      <c r="C23" s="1266" t="s">
        <v>1882</v>
      </c>
      <c r="D23" s="1262"/>
      <c r="E23" s="1262"/>
      <c r="F23" s="1268"/>
      <c r="G23" s="1268"/>
      <c r="H23" s="1268"/>
    </row>
    <row r="24" ht="28.5" customHeight="1">
      <c r="A24" s="1262" t="s">
        <v>1883</v>
      </c>
      <c r="B24" s="1262"/>
      <c r="C24" s="1266" t="s">
        <v>1884</v>
      </c>
      <c r="D24" s="1262"/>
      <c r="E24" s="1262"/>
      <c r="F24" s="1268"/>
      <c r="G24" s="1268"/>
      <c r="H24" s="1268"/>
    </row>
    <row r="25" ht="36" customHeight="1">
      <c r="A25" s="1262" t="s">
        <v>1885</v>
      </c>
      <c r="B25" s="1262"/>
      <c r="C25" s="1266" t="s">
        <v>1886</v>
      </c>
      <c r="D25" s="1262"/>
      <c r="E25" s="1262"/>
      <c r="F25" s="1268"/>
      <c r="G25" s="1268"/>
      <c r="H25" s="1268"/>
    </row>
    <row r="26" ht="27" customHeight="1">
      <c r="A26" s="1262" t="s">
        <v>1887</v>
      </c>
      <c r="B26" s="1262"/>
      <c r="C26" s="1266" t="s">
        <v>1888</v>
      </c>
      <c r="D26" s="1262"/>
      <c r="E26" s="1262"/>
      <c r="F26" s="1268"/>
      <c r="G26" s="1268"/>
      <c r="H26" s="1268"/>
    </row>
    <row r="27" ht="36" customHeight="1">
      <c r="A27" s="1262" t="s">
        <v>1889</v>
      </c>
      <c r="B27" s="1262"/>
      <c r="C27" s="1266" t="s">
        <v>1890</v>
      </c>
      <c r="D27" s="1262"/>
      <c r="E27" s="1262"/>
      <c r="F27" s="1268"/>
      <c r="G27" s="1268"/>
      <c r="H27" s="1268"/>
    </row>
    <row r="28" ht="28.5" customHeight="1">
      <c r="A28" s="1262" t="s">
        <v>1891</v>
      </c>
      <c r="B28" s="1262"/>
      <c r="C28" s="1266" t="s">
        <v>1892</v>
      </c>
      <c r="D28" s="1262"/>
      <c r="E28" s="1262"/>
      <c r="F28" s="1268"/>
      <c r="G28" s="1268"/>
      <c r="H28" s="1268"/>
    </row>
    <row r="29" ht="126" customHeight="1">
      <c r="A29" s="1262" t="s">
        <v>1893</v>
      </c>
      <c r="B29" s="1262" t="s">
        <v>1560</v>
      </c>
      <c r="C29" s="1266" t="str">
        <f t="shared" ref="C29:C32" si="53">IF(TEMPLATE_SPHERE="HEAT",D29,IF(TEMPLATE_SPHERE="TKO",H29,E29))</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62" t="s">
        <v>1894</v>
      </c>
      <c r="E29" s="12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 xml:space="preserve">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68"/>
      <c r="G29" s="1268"/>
      <c r="H29" s="1262" t="s">
        <v>1895</v>
      </c>
    </row>
    <row r="30" ht="36" customHeight="1">
      <c r="A30" s="1262" t="s">
        <v>1896</v>
      </c>
      <c r="B30" s="1262"/>
      <c r="C30" s="1266" t="str">
        <f t="shared" si="53"/>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62" t="s">
        <v>1897</v>
      </c>
      <c r="E30" s="12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68"/>
      <c r="G30" s="1268"/>
      <c r="H30" s="1268"/>
    </row>
    <row r="31" ht="54" customHeight="1">
      <c r="A31" s="1262" t="s">
        <v>1898</v>
      </c>
      <c r="B31" s="1262"/>
      <c r="C31" s="1266" t="str">
        <f t="shared" si="53"/>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62" t="s">
        <v>1899</v>
      </c>
      <c r="E31" s="1269"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31" s="1268"/>
      <c r="G31" s="1268"/>
      <c r="H31" s="1268"/>
    </row>
    <row r="32" ht="198" customHeight="1">
      <c r="A32" s="1262" t="s">
        <v>1900</v>
      </c>
      <c r="B32" s="1262"/>
      <c r="C32" s="1266" t="str">
        <f t="shared" si="53"/>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62" t="s">
        <v>1901</v>
      </c>
      <c r="E32" s="1269" t="str">
        <f>"Форма 7. Информация об инвестиционных программах организации "&amp;TEMPLATE_SPHERE_RUS&amp;" и отчетах об их исполнении"</f>
        <v xml:space="preserve">Форма 7. Информация об инвестиционных программах организации теплоснабжения и отчетах об их исполнении</v>
      </c>
      <c r="F32" s="1268"/>
      <c r="G32" s="1268"/>
      <c r="H32" s="1262" t="s">
        <v>1902</v>
      </c>
    </row>
    <row r="33" ht="9" customHeight="1">
      <c r="A33" s="1262"/>
      <c r="B33" s="1262"/>
      <c r="C33" s="1266"/>
      <c r="D33" s="1262"/>
      <c r="E33" s="1262"/>
      <c r="F33" s="1268"/>
      <c r="G33" s="1268"/>
      <c r="H33" s="1268"/>
    </row>
    <row r="34" ht="9" customHeight="1">
      <c r="A34" s="1262"/>
      <c r="B34" s="1262" t="s">
        <v>1496</v>
      </c>
      <c r="C34" s="1266">
        <f>INDEX(TEMPLATE_NAME_FORM_LIST,B34,MATCH(TEMPLATE_SPHERE,TEMPLATE_SPHERE_LIST,0))</f>
        <v>0</v>
      </c>
      <c r="D34" s="1262"/>
      <c r="E34" s="1262"/>
      <c r="F34" s="1268"/>
      <c r="G34" s="1268"/>
      <c r="H34" s="1268"/>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9" customHeight="1"/>
  <cols>
    <col min="1" max="2" style="1260" width="9.140625"/>
    <col customWidth="1" min="3" max="7" style="1270" width="8.00390625"/>
    <col customWidth="1" min="8" max="12" style="1270" width="8.57421875"/>
    <col customWidth="1" min="13" max="14" style="1270" width="27.7109375"/>
    <col customWidth="1" min="15" max="19" style="1270" width="5.140625"/>
    <col customWidth="1" min="20" max="24" style="1270" width="27.7109375"/>
    <col customWidth="1" min="25" max="25" style="1271" width="1.8515625"/>
    <col customWidth="1" min="26" max="26" style="1260" width="27.7109375"/>
    <col customWidth="1" min="27" max="27" style="1272" width="27.7109375"/>
    <col customWidth="1" min="28" max="29" style="1260" width="27.7109375"/>
    <col customWidth="1" min="30" max="30" style="1260" width="3.8515625"/>
    <col min="31" max="34" style="1260" width="9.140625"/>
  </cols>
  <sheetData>
    <row r="1" s="1273" customFormat="1" ht="18" customHeight="1">
      <c r="A1" s="1274"/>
      <c r="B1" s="1274"/>
      <c r="C1" s="1274" t="s">
        <v>1903</v>
      </c>
      <c r="D1" s="1274"/>
      <c r="E1" s="1274"/>
      <c r="F1" s="1274"/>
      <c r="G1" s="1274"/>
      <c r="H1" s="1274" t="s">
        <v>1904</v>
      </c>
      <c r="I1" s="1274"/>
      <c r="J1" s="1274"/>
      <c r="K1" s="1274"/>
      <c r="L1" s="1274"/>
      <c r="M1" s="1274" t="s">
        <v>1905</v>
      </c>
      <c r="N1" s="1274" t="s">
        <v>1906</v>
      </c>
      <c r="O1" s="1274" t="s">
        <v>1907</v>
      </c>
      <c r="P1" s="1274"/>
      <c r="Q1" s="1274"/>
      <c r="R1" s="1274"/>
      <c r="S1" s="1274"/>
      <c r="T1" s="1274" t="s">
        <v>1905</v>
      </c>
      <c r="U1" s="1274"/>
      <c r="V1" s="1274"/>
      <c r="W1" s="1274"/>
      <c r="X1" s="1274"/>
      <c r="Y1" s="1275"/>
      <c r="Z1" s="1274" t="s">
        <v>1908</v>
      </c>
      <c r="AA1" s="1274"/>
      <c r="AB1" s="1274"/>
      <c r="AC1" s="1274"/>
      <c r="AD1" s="1274"/>
    </row>
    <row r="2" ht="18" customHeight="1">
      <c r="A2" s="1262"/>
      <c r="B2" s="1262"/>
      <c r="C2" s="1276" t="s">
        <v>704</v>
      </c>
      <c r="D2" s="1276" t="s">
        <v>750</v>
      </c>
      <c r="E2" s="1276" t="s">
        <v>802</v>
      </c>
      <c r="F2" s="1276" t="s">
        <v>788</v>
      </c>
      <c r="G2" s="1276" t="s">
        <v>1608</v>
      </c>
      <c r="H2" s="1277"/>
      <c r="I2" s="1277"/>
      <c r="J2" s="1277"/>
      <c r="K2" s="1277"/>
      <c r="L2" s="1277"/>
      <c r="M2" s="1277"/>
      <c r="N2" s="1277"/>
      <c r="O2" s="1276" t="s">
        <v>704</v>
      </c>
      <c r="P2" s="1276" t="s">
        <v>750</v>
      </c>
      <c r="Q2" s="1276" t="s">
        <v>788</v>
      </c>
      <c r="R2" s="1276" t="s">
        <v>802</v>
      </c>
      <c r="S2" s="1276" t="s">
        <v>1608</v>
      </c>
      <c r="T2" s="1276" t="s">
        <v>704</v>
      </c>
      <c r="U2" s="1276" t="s">
        <v>750</v>
      </c>
      <c r="V2" s="1276" t="s">
        <v>788</v>
      </c>
      <c r="W2" s="1276" t="s">
        <v>802</v>
      </c>
      <c r="X2" s="1276" t="s">
        <v>1608</v>
      </c>
      <c r="Y2" s="1276"/>
      <c r="Z2" s="1276" t="s">
        <v>704</v>
      </c>
      <c r="AA2" s="1278" t="s">
        <v>750</v>
      </c>
      <c r="AB2" s="1276" t="s">
        <v>788</v>
      </c>
      <c r="AC2" s="1276" t="s">
        <v>802</v>
      </c>
      <c r="AD2" s="1276" t="s">
        <v>1608</v>
      </c>
    </row>
    <row r="3" ht="162" customHeight="1">
      <c r="A3" s="1279" t="s">
        <v>23</v>
      </c>
      <c r="B3" s="1279"/>
      <c r="C3" s="1280" t="s">
        <v>1909</v>
      </c>
      <c r="D3" s="1281"/>
      <c r="E3" s="1281"/>
      <c r="F3" s="1282"/>
      <c r="G3" s="1277"/>
      <c r="H3" s="1277"/>
      <c r="I3" s="1277"/>
      <c r="J3" s="1277"/>
      <c r="K3" s="1277"/>
      <c r="L3" s="1277"/>
      <c r="M3" s="1277"/>
      <c r="N3" s="1283" t="str">
        <f>INDEX(TEMPLATE_ORG_DATA_POINT,1,MATCH(TEMPLATE_SPHERE,TEMPLATE_SPHERE_LIST_FOR_NOTE,0))</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77"/>
      <c r="P3" s="1277"/>
      <c r="Q3" s="1277"/>
      <c r="R3" s="1277"/>
      <c r="S3" s="1277"/>
      <c r="T3" s="1277"/>
      <c r="U3" s="1277"/>
      <c r="V3" s="1277"/>
      <c r="W3" s="1277"/>
      <c r="X3" s="1277"/>
      <c r="Y3" s="1284"/>
      <c r="Z3" s="1262" t="s">
        <v>1910</v>
      </c>
      <c r="AA3" s="1277" t="s">
        <v>1911</v>
      </c>
      <c r="AB3" s="1262" t="s">
        <v>1912</v>
      </c>
      <c r="AC3" s="1262" t="s">
        <v>1913</v>
      </c>
      <c r="AD3" s="1262"/>
      <c r="AG3" s="1262"/>
      <c r="AH3" s="1262"/>
    </row>
    <row r="4" ht="9" customHeight="1">
      <c r="A4" s="1279"/>
      <c r="B4" s="1279"/>
      <c r="C4" s="1277"/>
      <c r="D4" s="1277"/>
      <c r="E4" s="1277"/>
      <c r="F4" s="1277"/>
      <c r="G4" s="1277"/>
      <c r="H4" s="1277"/>
      <c r="I4" s="1277"/>
      <c r="J4" s="1277"/>
      <c r="K4" s="1277"/>
      <c r="L4" s="1277"/>
      <c r="M4" s="1277"/>
      <c r="N4" s="1277"/>
      <c r="O4" s="1277"/>
      <c r="P4" s="1277"/>
      <c r="Q4" s="1277"/>
      <c r="R4" s="1277"/>
      <c r="S4" s="1277"/>
      <c r="T4" s="1277"/>
      <c r="U4" s="1277"/>
      <c r="V4" s="1277"/>
      <c r="W4" s="1277"/>
      <c r="X4" s="1277"/>
      <c r="Y4" s="1284"/>
      <c r="Z4" s="1262"/>
      <c r="AA4" s="1269"/>
      <c r="AB4" s="1262"/>
      <c r="AC4" s="1262"/>
      <c r="AD4" s="1262"/>
    </row>
    <row r="5" ht="9" customHeight="1">
      <c r="A5" s="1279"/>
      <c r="B5" s="1279"/>
      <c r="C5" s="1277"/>
      <c r="D5" s="1277"/>
      <c r="E5" s="1277"/>
      <c r="F5" s="1277"/>
      <c r="G5" s="1277"/>
      <c r="H5" s="1277"/>
      <c r="I5" s="1277"/>
      <c r="J5" s="1277"/>
      <c r="K5" s="1277"/>
      <c r="L5" s="1277"/>
      <c r="M5" s="1277"/>
      <c r="N5" s="1277"/>
      <c r="O5" s="1277"/>
      <c r="P5" s="1277"/>
      <c r="Q5" s="1277"/>
      <c r="R5" s="1277"/>
      <c r="S5" s="1277"/>
      <c r="T5" s="1277"/>
      <c r="U5" s="1277"/>
      <c r="V5" s="1277"/>
      <c r="W5" s="1277"/>
      <c r="X5" s="1277"/>
      <c r="Y5" s="1284"/>
      <c r="Z5" s="1262"/>
      <c r="AA5" s="1269"/>
      <c r="AB5" s="1262"/>
      <c r="AC5" s="1262"/>
      <c r="AD5" s="1262"/>
    </row>
    <row r="6" ht="9" customHeight="1">
      <c r="A6" s="1279"/>
      <c r="B6" s="1279"/>
      <c r="C6" s="1277"/>
      <c r="D6" s="1277"/>
      <c r="E6" s="1277"/>
      <c r="F6" s="1277"/>
      <c r="G6" s="1277"/>
      <c r="H6" s="1277"/>
      <c r="I6" s="1277"/>
      <c r="J6" s="1277"/>
      <c r="K6" s="1277"/>
      <c r="L6" s="1277"/>
      <c r="M6" s="1277"/>
      <c r="N6" s="1277"/>
      <c r="O6" s="1277"/>
      <c r="P6" s="1277"/>
      <c r="Q6" s="1277"/>
      <c r="R6" s="1277"/>
      <c r="S6" s="1277"/>
      <c r="T6" s="1277"/>
      <c r="U6" s="1277"/>
      <c r="V6" s="1277"/>
      <c r="W6" s="1277"/>
      <c r="X6" s="1277"/>
      <c r="Y6" s="1284"/>
      <c r="Z6" s="1262"/>
      <c r="AA6" s="1269"/>
      <c r="AB6" s="1262"/>
      <c r="AC6" s="1262"/>
      <c r="AD6" s="1262"/>
    </row>
    <row r="7" ht="9" customHeight="1">
      <c r="A7" s="1279"/>
      <c r="B7" s="1279"/>
      <c r="C7" s="1277"/>
      <c r="D7" s="1277"/>
      <c r="E7" s="1277"/>
      <c r="F7" s="1277"/>
      <c r="G7" s="1277"/>
      <c r="H7" s="1277"/>
      <c r="I7" s="1277"/>
      <c r="J7" s="1277"/>
      <c r="K7" s="1277"/>
      <c r="L7" s="1277"/>
      <c r="M7" s="1277"/>
      <c r="N7" s="1277"/>
      <c r="O7" s="1277"/>
      <c r="P7" s="1277"/>
      <c r="Q7" s="1277"/>
      <c r="R7" s="1277"/>
      <c r="S7" s="1277"/>
      <c r="T7" s="1277"/>
      <c r="U7" s="1277"/>
      <c r="V7" s="1277"/>
      <c r="W7" s="1277"/>
      <c r="X7" s="1277"/>
      <c r="Y7" s="1284"/>
      <c r="Z7" s="1262"/>
      <c r="AA7" s="1269"/>
      <c r="AB7" s="1262"/>
      <c r="AC7" s="1262"/>
      <c r="AD7" s="1262"/>
    </row>
    <row r="8" ht="9" customHeight="1">
      <c r="A8" s="1279"/>
      <c r="B8" s="1279"/>
      <c r="C8" s="1277"/>
      <c r="D8" s="1277"/>
      <c r="E8" s="1277"/>
      <c r="F8" s="1277"/>
      <c r="G8" s="1277"/>
      <c r="H8" s="1277"/>
      <c r="I8" s="1277"/>
      <c r="J8" s="1277"/>
      <c r="K8" s="1277"/>
      <c r="L8" s="1277"/>
      <c r="M8" s="1277"/>
      <c r="N8" s="1277"/>
      <c r="O8" s="1277"/>
      <c r="P8" s="1277"/>
      <c r="Q8" s="1277"/>
      <c r="R8" s="1277"/>
      <c r="S8" s="1277"/>
      <c r="T8" s="1277"/>
      <c r="U8" s="1277"/>
      <c r="V8" s="1277"/>
      <c r="W8" s="1277"/>
      <c r="X8" s="1277"/>
      <c r="Y8" s="1284"/>
      <c r="Z8" s="1262"/>
      <c r="AA8" s="1269"/>
      <c r="AB8" s="1262"/>
      <c r="AC8" s="1262"/>
      <c r="AD8" s="1262"/>
    </row>
    <row r="9" ht="9" customHeight="1">
      <c r="A9" s="1279"/>
      <c r="B9" s="1279"/>
      <c r="C9" s="1277"/>
      <c r="D9" s="1277"/>
      <c r="E9" s="1277"/>
      <c r="F9" s="1277"/>
      <c r="G9" s="1277"/>
      <c r="H9" s="1277"/>
      <c r="I9" s="1277"/>
      <c r="J9" s="1277"/>
      <c r="K9" s="1277"/>
      <c r="L9" s="1277"/>
      <c r="M9" s="1277"/>
      <c r="N9" s="1277"/>
      <c r="O9" s="1277"/>
      <c r="P9" s="1277"/>
      <c r="Q9" s="1277"/>
      <c r="R9" s="1277"/>
      <c r="S9" s="1277"/>
      <c r="T9" s="1277"/>
      <c r="U9" s="1277"/>
      <c r="V9" s="1277"/>
      <c r="W9" s="1277"/>
      <c r="X9" s="1277"/>
      <c r="Y9" s="1284"/>
      <c r="Z9" s="1262"/>
      <c r="AA9" s="1269"/>
      <c r="AB9" s="1262"/>
      <c r="AC9" s="1262"/>
      <c r="AD9" s="1262"/>
    </row>
    <row r="10" ht="9" customHeight="1">
      <c r="A10" s="1285"/>
      <c r="B10" s="1285"/>
      <c r="C10" s="1285"/>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5"/>
      <c r="AB10" s="1285"/>
      <c r="AC10" s="1285"/>
      <c r="AD10" s="1285"/>
    </row>
    <row r="11" ht="45" customHeight="1">
      <c r="A11" s="1285" t="s">
        <v>29</v>
      </c>
      <c r="B11" s="1285">
        <v>1</v>
      </c>
      <c r="C11" s="1286" t="s">
        <v>1547</v>
      </c>
      <c r="D11" s="1286" t="s">
        <v>1543</v>
      </c>
      <c r="E11" s="1286" t="s">
        <v>1640</v>
      </c>
      <c r="F11" s="1286" t="s">
        <v>96</v>
      </c>
      <c r="G11" s="1286"/>
      <c r="H11" s="1274" t="s">
        <v>1914</v>
      </c>
      <c r="I11" s="1274"/>
      <c r="J11" s="1274"/>
      <c r="K11" s="1274"/>
      <c r="L11" s="1274"/>
      <c r="M11" s="1283" t="str">
        <f t="shared" ref="M11:M15" si="54">IF(TEMPLATE_SPHERE="HEAT",T11,U11)</f>
        <v xml:space="preserve">Количество поданных заявок</v>
      </c>
      <c r="N11" s="1283" t="str">
        <f t="shared" ref="N11:N16" si="55">IF(TEMPLATE_SPHERE="HEAT",Z11,AA11)</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O11" s="1277"/>
      <c r="P11" s="1277"/>
      <c r="Q11" s="1277"/>
      <c r="R11" s="1277"/>
      <c r="S11" s="1277"/>
      <c r="T11" s="1277" t="s">
        <v>1915</v>
      </c>
      <c r="U11" s="1277" t="s">
        <v>1916</v>
      </c>
      <c r="V11" s="1277"/>
      <c r="W11" s="1277"/>
      <c r="X11" s="1277"/>
      <c r="Y11" s="1284"/>
      <c r="Z11" s="1262" t="s">
        <v>1917</v>
      </c>
      <c r="AA11" s="12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62"/>
      <c r="AC11" s="1262"/>
      <c r="AD11" s="1262"/>
    </row>
    <row r="12" ht="45" customHeight="1">
      <c r="A12" s="1285"/>
      <c r="B12" s="1285">
        <v>2</v>
      </c>
      <c r="C12" s="1287"/>
      <c r="D12" s="1287"/>
      <c r="E12" s="1287"/>
      <c r="F12" s="1287"/>
      <c r="G12" s="1287"/>
      <c r="H12" s="1274" t="s">
        <v>1918</v>
      </c>
      <c r="I12" s="1274"/>
      <c r="J12" s="1274"/>
      <c r="K12" s="1274"/>
      <c r="L12" s="1274"/>
      <c r="M12" s="1283" t="str">
        <f t="shared" si="54"/>
        <v xml:space="preserve">Количество рассмотренных заявок</v>
      </c>
      <c r="N12" s="1283" t="str">
        <f t="shared" si="55"/>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77"/>
      <c r="P12" s="1277"/>
      <c r="Q12" s="1277"/>
      <c r="R12" s="1277"/>
      <c r="S12" s="1277"/>
      <c r="T12" s="1277" t="s">
        <v>1919</v>
      </c>
      <c r="U12" s="1277" t="s">
        <v>1920</v>
      </c>
      <c r="V12" s="1277"/>
      <c r="W12" s="1277"/>
      <c r="X12" s="1277"/>
      <c r="Y12" s="1284"/>
      <c r="Z12" s="1262" t="s">
        <v>1921</v>
      </c>
      <c r="AA12" s="12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62"/>
      <c r="AC12" s="1262"/>
      <c r="AD12" s="1262"/>
    </row>
    <row r="13" ht="72" customHeight="1">
      <c r="A13" s="1285"/>
      <c r="B13" s="1285">
        <v>3</v>
      </c>
      <c r="C13" s="1287"/>
      <c r="D13" s="1287"/>
      <c r="E13" s="1287"/>
      <c r="F13" s="1287"/>
      <c r="G13" s="1287"/>
      <c r="H13" s="1274" t="s">
        <v>1922</v>
      </c>
      <c r="I13" s="1274"/>
      <c r="J13" s="1274"/>
      <c r="K13" s="1274"/>
      <c r="L13" s="1274"/>
      <c r="M13" s="1283" t="str">
        <f t="shared" si="54"/>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83" t="str">
        <f t="shared" si="55"/>
        <v xml:space="preserve">Указывается количество заявок с решением об отказе в течение отчетного квартала.</v>
      </c>
      <c r="O13" s="1277"/>
      <c r="P13" s="1283"/>
      <c r="Q13" s="1283"/>
      <c r="R13" s="1283"/>
      <c r="S13" s="1277"/>
      <c r="T13" s="1277" t="s">
        <v>1923</v>
      </c>
      <c r="U13" s="1283" t="s">
        <v>1924</v>
      </c>
      <c r="V13" s="1283"/>
      <c r="W13" s="1283"/>
      <c r="X13" s="1277"/>
      <c r="Y13" s="1284"/>
      <c r="Z13" s="1262" t="s">
        <v>1925</v>
      </c>
      <c r="AA13" s="12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 xml:space="preserve">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62"/>
      <c r="AC13" s="1262"/>
      <c r="AD13" s="1262"/>
    </row>
    <row r="14" ht="45" customHeight="1">
      <c r="A14" s="1285"/>
      <c r="B14" s="1285">
        <v>4</v>
      </c>
      <c r="C14" s="1287"/>
      <c r="D14" s="1287"/>
      <c r="E14" s="1287"/>
      <c r="F14" s="1287"/>
      <c r="G14" s="1287"/>
      <c r="H14" s="1274"/>
      <c r="I14" s="1286"/>
      <c r="J14" s="1286"/>
      <c r="K14" s="1286"/>
      <c r="L14" s="1286"/>
      <c r="M14" s="1288" t="str">
        <f t="shared" si="54"/>
        <v xml:space="preserve">Причины отказа в заключении договора о подключении (технологическом присоединении) к системе теплоснабжения</v>
      </c>
      <c r="N14" s="1283" t="str">
        <f t="shared" si="55"/>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77"/>
      <c r="P14" s="1283"/>
      <c r="Q14" s="1283"/>
      <c r="R14" s="1283"/>
      <c r="S14" s="1277"/>
      <c r="T14" s="1277" t="s">
        <v>1926</v>
      </c>
      <c r="U14" s="1283" t="str">
        <f>"Причины отказа в заключении договора о подключении (технологическом присоединении) к централизованной системе "&amp;TEMPLATE_SPHERE_RUS</f>
        <v xml:space="preserve">Причины отказа в заключении договора о подключении (технологическом присоединении) к централизованной системе теплоснабжения</v>
      </c>
      <c r="V14" s="1283"/>
      <c r="W14" s="1283"/>
      <c r="X14" s="1277"/>
      <c r="Y14" s="1284"/>
      <c r="Z14" s="1262" t="s">
        <v>1927</v>
      </c>
      <c r="AA14" s="1269" t="s">
        <v>1927</v>
      </c>
      <c r="AB14" s="1262"/>
      <c r="AC14" s="1262"/>
      <c r="AD14" s="1262"/>
    </row>
    <row r="15" ht="108" customHeight="1">
      <c r="A15" s="1285"/>
      <c r="B15" s="1285">
        <v>5</v>
      </c>
      <c r="C15" s="1287"/>
      <c r="D15" s="1287"/>
      <c r="E15" s="1287"/>
      <c r="F15" s="1287"/>
      <c r="G15" s="1287"/>
      <c r="H15" s="1289" t="s">
        <v>1928</v>
      </c>
      <c r="I15" s="1289"/>
      <c r="J15" s="1289"/>
      <c r="K15" s="1289"/>
      <c r="L15" s="1289"/>
      <c r="M15" s="1269" t="str">
        <f t="shared" si="54"/>
        <v xml:space="preserve">Резерв мощности источников тепловой энергии, входящих в систему теплоснабжения, в течение одного квартала, в том числе:</v>
      </c>
      <c r="N15" s="1290" t="str">
        <f t="shared" si="55"/>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5" s="1277"/>
      <c r="P15" s="1283"/>
      <c r="Q15" s="1283"/>
      <c r="R15" s="1283"/>
      <c r="S15" s="1277"/>
      <c r="T15" s="1277" t="s">
        <v>1929</v>
      </c>
      <c r="U15" s="128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 xml:space="preserve">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83"/>
      <c r="W15" s="1283"/>
      <c r="X15" s="1277"/>
      <c r="Y15" s="1284"/>
      <c r="Z15" s="1262" t="s">
        <v>1930</v>
      </c>
      <c r="AA15" s="12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 xml:space="preserve">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62"/>
      <c r="AC15" s="1262"/>
      <c r="AD15" s="1262"/>
    </row>
    <row r="16" ht="108" customHeight="1">
      <c r="A16" s="1285"/>
      <c r="B16" s="1285">
        <v>6</v>
      </c>
      <c r="C16" s="1291"/>
      <c r="D16" s="1291"/>
      <c r="E16" s="1291"/>
      <c r="F16" s="1291"/>
      <c r="G16" s="1291"/>
      <c r="H16" s="1292"/>
      <c r="I16" s="1293"/>
      <c r="J16" s="1293"/>
      <c r="K16" s="1293"/>
      <c r="L16" s="1293"/>
      <c r="M16" s="1294"/>
      <c r="N16" s="1290" t="str">
        <f t="shared" si="55"/>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6" s="1277"/>
      <c r="P16" s="1283"/>
      <c r="Q16" s="1283"/>
      <c r="R16" s="1283"/>
      <c r="S16" s="1277"/>
      <c r="T16" s="1277"/>
      <c r="U16" s="1283"/>
      <c r="V16" s="1283"/>
      <c r="W16" s="1283"/>
      <c r="X16" s="1277"/>
      <c r="Y16" s="1284"/>
      <c r="Z16" s="1262" t="s">
        <v>1930</v>
      </c>
      <c r="AA16" s="12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 xml:space="preserve">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62"/>
      <c r="AC16" s="1262"/>
      <c r="AD16" s="1262"/>
    </row>
    <row r="17" ht="9" customHeight="1">
      <c r="A17" s="1285"/>
      <c r="B17" s="1285"/>
      <c r="C17" s="1285">
        <v>22</v>
      </c>
      <c r="D17" s="1285">
        <v>21</v>
      </c>
      <c r="E17" s="1285">
        <v>42</v>
      </c>
      <c r="F17" s="1285">
        <v>63</v>
      </c>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1285"/>
    </row>
    <row r="18" ht="27" customHeight="1">
      <c r="A18" s="1279" t="s">
        <v>1643</v>
      </c>
      <c r="B18" s="1285">
        <v>1</v>
      </c>
      <c r="C18" s="1277" t="s">
        <v>1914</v>
      </c>
      <c r="D18" s="1295" t="s">
        <v>1914</v>
      </c>
      <c r="E18" s="1277" t="s">
        <v>1914</v>
      </c>
      <c r="F18" s="1277" t="s">
        <v>1914</v>
      </c>
      <c r="G18" s="1277"/>
      <c r="H18" s="1296"/>
      <c r="I18" s="1297">
        <f t="shared" ref="I18:I81" si="56">INDEX(TEMPLATE_NUMBER_POINT_FHD,B18,MATCH(TEMPLATE_SPHERE,TEMPLATE_SPHERE_LIST_FOR_NOTE,0))</f>
        <v>1</v>
      </c>
      <c r="J18" s="1297" t="str">
        <f t="shared" ref="J18:J81" si="57">INDEX(TEMPLATE_DATA_POINT_FHD,B18,MATCH(TEMPLATE_SPHERE,TEMPLATE_SPHERE_LIST_FOR_NOTE,0))</f>
        <v xml:space="preserve">Выручка от регулируемого вида деятельности с распределением по видам деятельности</v>
      </c>
      <c r="K18" s="1297" t="str">
        <f t="shared" ref="K18:K81" si="58">INDEX(TEMPLATE_NOTE_POINT_FHD,B18,MATCH(TEMPLATE_SPHERE,TEMPLATE_SPHERE_LIST_FOR_NOTE,0))</f>
        <v xml:space="preserve">Указывается выручка от регулируемого вида деятельности с распределением по видам деятельности.</v>
      </c>
      <c r="L18" s="1283">
        <f t="shared" ref="L18:L81" si="59">IF(I18=0,"",I18)</f>
        <v>1</v>
      </c>
      <c r="M18" s="1283" t="str">
        <f t="shared" ref="M18:M81" si="60">IF(J18=0,"",J18)</f>
        <v xml:space="preserve">Выручка от регулируемого вида деятельности с распределением по видам деятельности</v>
      </c>
      <c r="N18" s="1283" t="str">
        <f t="shared" ref="N18:N81" si="61">IF(K18=0,"",K18)</f>
        <v xml:space="preserve">Указывается выручка от регулируемого вида деятельности с распределением по видам деятельности.</v>
      </c>
      <c r="O18" s="1298">
        <v>1</v>
      </c>
      <c r="P18" s="1298">
        <v>1</v>
      </c>
      <c r="Q18" s="1298">
        <v>1</v>
      </c>
      <c r="R18" s="1298">
        <v>1</v>
      </c>
      <c r="S18" s="1298"/>
      <c r="T18" s="1299" t="s">
        <v>1931</v>
      </c>
      <c r="U18" s="1262" t="s">
        <v>1932</v>
      </c>
      <c r="V18" s="1262" t="s">
        <v>1933</v>
      </c>
      <c r="W18" s="1262" t="s">
        <v>1934</v>
      </c>
      <c r="X18" s="1277"/>
      <c r="Y18" s="1284"/>
      <c r="Z18" s="1262" t="s">
        <v>1935</v>
      </c>
      <c r="AA18" s="1269" t="s">
        <v>1936</v>
      </c>
      <c r="AB18" s="1269" t="s">
        <v>1936</v>
      </c>
      <c r="AC18" s="1269" t="s">
        <v>1936</v>
      </c>
      <c r="AD18" s="1262"/>
    </row>
    <row r="19" ht="36" customHeight="1">
      <c r="A19" s="1279"/>
      <c r="B19" s="1285">
        <v>2</v>
      </c>
      <c r="C19" s="1277" t="s">
        <v>1918</v>
      </c>
      <c r="D19" s="1295" t="s">
        <v>1918</v>
      </c>
      <c r="E19" s="1277" t="s">
        <v>1918</v>
      </c>
      <c r="F19" s="1277" t="s">
        <v>1918</v>
      </c>
      <c r="G19" s="1277"/>
      <c r="H19" s="1296"/>
      <c r="I19" s="1297">
        <f t="shared" si="56"/>
        <v>2</v>
      </c>
      <c r="J19" s="1297" t="str">
        <f t="shared" si="57"/>
        <v xml:space="preserve">Себестоимость производимых товаров (оказываемых услуг) по регулируемому виду деятельности, включая:</v>
      </c>
      <c r="K19" s="1297" t="str">
        <f t="shared" si="58"/>
        <v xml:space="preserve">Указывается суммарная себестоимость производимых товаров.</v>
      </c>
      <c r="L19" s="1283">
        <f t="shared" si="59"/>
        <v>2</v>
      </c>
      <c r="M19" s="1283" t="str">
        <f t="shared" si="60"/>
        <v xml:space="preserve">Себестоимость производимых товаров (оказываемых услуг) по регулируемому виду деятельности, включая:</v>
      </c>
      <c r="N19" s="1283" t="str">
        <f t="shared" si="61"/>
        <v xml:space="preserve">Указывается суммарная себестоимость производимых товаров.</v>
      </c>
      <c r="O19" s="1298">
        <v>2</v>
      </c>
      <c r="P19" s="1298">
        <v>2</v>
      </c>
      <c r="Q19" s="1298">
        <v>2</v>
      </c>
      <c r="R19" s="1298">
        <v>2</v>
      </c>
      <c r="S19" s="1298"/>
      <c r="T19" s="1299" t="s">
        <v>1937</v>
      </c>
      <c r="U19" s="1262" t="s">
        <v>1938</v>
      </c>
      <c r="V19" s="1262" t="s">
        <v>1939</v>
      </c>
      <c r="W19" s="1262" t="s">
        <v>1940</v>
      </c>
      <c r="X19" s="1277"/>
      <c r="Y19" s="1284"/>
      <c r="Z19" s="1262" t="s">
        <v>1941</v>
      </c>
      <c r="AA19" s="1269" t="s">
        <v>1941</v>
      </c>
      <c r="AB19" s="1269" t="s">
        <v>1941</v>
      </c>
      <c r="AC19" s="1269" t="s">
        <v>1941</v>
      </c>
      <c r="AD19" s="1262"/>
    </row>
    <row r="20" ht="27" customHeight="1">
      <c r="A20" s="1279"/>
      <c r="B20" s="1285">
        <v>3</v>
      </c>
      <c r="C20" s="1277">
        <v>1</v>
      </c>
      <c r="D20" s="1295"/>
      <c r="E20" s="1277"/>
      <c r="F20" s="1277"/>
      <c r="G20" s="1277"/>
      <c r="H20" s="1296"/>
      <c r="I20" s="1297" t="str">
        <f t="shared" si="56"/>
        <v>2.1</v>
      </c>
      <c r="J20" s="1297" t="str">
        <f t="shared" si="57"/>
        <v xml:space="preserve">Расходы на приобретаемую тепловую энергию (мощность), теплоноситель</v>
      </c>
      <c r="K20" s="1297">
        <f t="shared" si="58"/>
        <v>0</v>
      </c>
      <c r="L20" s="1283" t="str">
        <f t="shared" si="59"/>
        <v>2.1</v>
      </c>
      <c r="M20" s="1283" t="str">
        <f t="shared" si="60"/>
        <v xml:space="preserve">Расходы на приобретаемую тепловую энергию (мощность), теплоноситель</v>
      </c>
      <c r="N20" s="1283" t="str">
        <f t="shared" si="61"/>
        <v/>
      </c>
      <c r="O20" s="1298" t="s">
        <v>604</v>
      </c>
      <c r="P20" s="1298" t="s">
        <v>604</v>
      </c>
      <c r="Q20" s="1298" t="s">
        <v>604</v>
      </c>
      <c r="R20" s="1298" t="s">
        <v>604</v>
      </c>
      <c r="S20" s="1298"/>
      <c r="T20" s="1299" t="s">
        <v>1942</v>
      </c>
      <c r="U20" s="1262" t="s">
        <v>1943</v>
      </c>
      <c r="V20" s="1262" t="s">
        <v>1944</v>
      </c>
      <c r="W20" s="1262" t="s">
        <v>1945</v>
      </c>
      <c r="X20" s="1277"/>
      <c r="Y20" s="1284"/>
      <c r="Z20" s="1262"/>
      <c r="AA20" s="1269"/>
      <c r="AB20" s="1262"/>
      <c r="AC20" s="1262"/>
      <c r="AD20" s="1262"/>
    </row>
    <row r="21" ht="36" customHeight="1">
      <c r="A21" s="1279"/>
      <c r="B21" s="1285">
        <v>4</v>
      </c>
      <c r="C21" s="1277">
        <v>2</v>
      </c>
      <c r="D21" s="1295"/>
      <c r="E21" s="1277"/>
      <c r="F21" s="1277"/>
      <c r="G21" s="1277"/>
      <c r="H21" s="1296"/>
      <c r="I21" s="1297" t="str">
        <f t="shared" si="56"/>
        <v>2.2</v>
      </c>
      <c r="J21" s="1297" t="str">
        <f t="shared" si="57"/>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K21" s="1297" t="str">
        <f t="shared" si="58"/>
        <v xml:space="preserve">Указываются суммарные расходы на приобретение топлива всех видов.</v>
      </c>
      <c r="L21" s="1283" t="str">
        <f t="shared" si="59"/>
        <v>2.2</v>
      </c>
      <c r="M21" s="1283" t="str">
        <f t="shared" si="60"/>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N21" s="1283" t="str">
        <f t="shared" si="61"/>
        <v xml:space="preserve">Указываются суммарные расходы на приобретение топлива всех видов.</v>
      </c>
      <c r="O21" s="1298" t="s">
        <v>295</v>
      </c>
      <c r="P21" s="1298"/>
      <c r="Q21" s="1298"/>
      <c r="R21" s="1298"/>
      <c r="S21" s="1298"/>
      <c r="T21" s="1299" t="s">
        <v>1946</v>
      </c>
      <c r="U21" s="1262"/>
      <c r="V21" s="1262"/>
      <c r="W21" s="1262"/>
      <c r="X21" s="1277"/>
      <c r="Y21" s="1284"/>
      <c r="Z21" s="1262" t="s">
        <v>1947</v>
      </c>
      <c r="AA21" s="1269"/>
      <c r="AB21" s="1262"/>
      <c r="AC21" s="1262"/>
      <c r="AD21" s="1262"/>
    </row>
    <row r="22" ht="36" customHeight="1">
      <c r="A22" s="1279"/>
      <c r="B22" s="1285">
        <v>5</v>
      </c>
      <c r="C22" s="1277">
        <v>3</v>
      </c>
      <c r="D22" s="1295"/>
      <c r="E22" s="1277"/>
      <c r="F22" s="1277"/>
      <c r="G22" s="1300"/>
      <c r="H22" s="1301"/>
      <c r="I22" s="1297">
        <f t="shared" si="56"/>
        <v>0</v>
      </c>
      <c r="J22" s="1297">
        <f t="shared" si="57"/>
        <v>0</v>
      </c>
      <c r="K22" s="1297">
        <f t="shared" si="58"/>
        <v>0</v>
      </c>
      <c r="L22" s="1283" t="str">
        <f t="shared" si="59"/>
        <v/>
      </c>
      <c r="M22" s="1283" t="str">
        <f t="shared" si="60"/>
        <v/>
      </c>
      <c r="N22" s="1283" t="str">
        <f t="shared" si="61"/>
        <v/>
      </c>
      <c r="O22" s="1298"/>
      <c r="P22" s="1298"/>
      <c r="Q22" s="1298" t="s">
        <v>295</v>
      </c>
      <c r="R22" s="1298"/>
      <c r="S22" s="1298"/>
      <c r="T22" s="1299"/>
      <c r="U22" s="1262"/>
      <c r="V22" s="1262" t="s">
        <v>1948</v>
      </c>
      <c r="W22" s="1262"/>
      <c r="X22" s="1277"/>
      <c r="Y22" s="1284"/>
      <c r="Z22" s="1262"/>
      <c r="AA22" s="1269"/>
      <c r="AB22" s="1262"/>
      <c r="AC22" s="1262"/>
      <c r="AD22" s="1262"/>
    </row>
    <row r="23" ht="27" customHeight="1">
      <c r="A23" s="1279"/>
      <c r="B23" s="1285">
        <v>6</v>
      </c>
      <c r="C23" s="1277">
        <v>4</v>
      </c>
      <c r="D23" s="1295"/>
      <c r="E23" s="1277"/>
      <c r="F23" s="1277"/>
      <c r="G23" s="1300"/>
      <c r="H23" s="1301"/>
      <c r="I23" s="1297">
        <f t="shared" si="56"/>
        <v>0</v>
      </c>
      <c r="J23" s="1297">
        <f t="shared" si="57"/>
        <v>0</v>
      </c>
      <c r="K23" s="1297">
        <f t="shared" si="58"/>
        <v>0</v>
      </c>
      <c r="L23" s="1283" t="str">
        <f t="shared" si="59"/>
        <v/>
      </c>
      <c r="M23" s="1283" t="str">
        <f t="shared" si="60"/>
        <v/>
      </c>
      <c r="N23" s="1283" t="str">
        <f t="shared" si="61"/>
        <v/>
      </c>
      <c r="O23" s="1298"/>
      <c r="P23" s="1298"/>
      <c r="Q23" s="1298" t="s">
        <v>298</v>
      </c>
      <c r="R23" s="1298"/>
      <c r="S23" s="1298"/>
      <c r="T23" s="1299"/>
      <c r="U23" s="1262"/>
      <c r="V23" s="1262" t="s">
        <v>1949</v>
      </c>
      <c r="W23" s="1262"/>
      <c r="X23" s="1277"/>
      <c r="Y23" s="1284"/>
      <c r="Z23" s="1262"/>
      <c r="AA23" s="1269"/>
      <c r="AB23" s="1262"/>
      <c r="AC23" s="1262"/>
      <c r="AD23" s="1262"/>
    </row>
    <row r="24" ht="36" customHeight="1">
      <c r="A24" s="1279"/>
      <c r="B24" s="1285">
        <v>7</v>
      </c>
      <c r="C24" s="1277">
        <v>5</v>
      </c>
      <c r="D24" s="1295"/>
      <c r="E24" s="1277"/>
      <c r="F24" s="1277"/>
      <c r="G24" s="1300"/>
      <c r="H24" s="1301"/>
      <c r="I24" s="1297">
        <f t="shared" si="56"/>
        <v>0</v>
      </c>
      <c r="J24" s="1297">
        <f t="shared" si="57"/>
        <v>0</v>
      </c>
      <c r="K24" s="1297">
        <f t="shared" si="58"/>
        <v>0</v>
      </c>
      <c r="L24" s="1283" t="str">
        <f t="shared" si="59"/>
        <v/>
      </c>
      <c r="M24" s="1283" t="str">
        <f t="shared" si="60"/>
        <v/>
      </c>
      <c r="N24" s="1283" t="str">
        <f t="shared" si="61"/>
        <v/>
      </c>
      <c r="O24" s="1298"/>
      <c r="P24" s="1298"/>
      <c r="Q24" s="1298" t="s">
        <v>624</v>
      </c>
      <c r="R24" s="1298"/>
      <c r="S24" s="1298"/>
      <c r="T24" s="1299"/>
      <c r="U24" s="1262"/>
      <c r="V24" s="1262" t="s">
        <v>1950</v>
      </c>
      <c r="W24" s="1262"/>
      <c r="X24" s="1277"/>
      <c r="Y24" s="1284"/>
      <c r="Z24" s="1262"/>
      <c r="AA24" s="1269"/>
      <c r="AB24" s="1262"/>
      <c r="AC24" s="1262"/>
      <c r="AD24" s="1262"/>
    </row>
    <row r="25" ht="36" customHeight="1">
      <c r="A25" s="1279"/>
      <c r="B25" s="1285">
        <v>8</v>
      </c>
      <c r="C25" s="1277">
        <v>6</v>
      </c>
      <c r="D25" s="1295"/>
      <c r="E25" s="1277"/>
      <c r="F25" s="1277"/>
      <c r="G25" s="1300"/>
      <c r="H25" s="1301"/>
      <c r="I25" s="1297" t="str">
        <f t="shared" si="56"/>
        <v>2.3</v>
      </c>
      <c r="J25" s="1297" t="str">
        <f t="shared" si="57"/>
        <v xml:space="preserve">Расходы на приобретаемую электрическую энергию (мощность), используемую в технологическом процессе</v>
      </c>
      <c r="K25" s="1297">
        <f t="shared" si="58"/>
        <v>0</v>
      </c>
      <c r="L25" s="1283" t="str">
        <f t="shared" si="59"/>
        <v>2.3</v>
      </c>
      <c r="M25" s="1283" t="str">
        <f t="shared" si="60"/>
        <v xml:space="preserve">Расходы на приобретаемую электрическую энергию (мощность), используемую в технологическом процессе</v>
      </c>
      <c r="N25" s="1283" t="str">
        <f t="shared" si="61"/>
        <v/>
      </c>
      <c r="O25" s="1298" t="s">
        <v>298</v>
      </c>
      <c r="P25" s="1298" t="s">
        <v>295</v>
      </c>
      <c r="Q25" s="1298" t="s">
        <v>631</v>
      </c>
      <c r="R25" s="1298" t="s">
        <v>295</v>
      </c>
      <c r="S25" s="1298"/>
      <c r="T25" s="1299" t="s">
        <v>1951</v>
      </c>
      <c r="U25" s="1262" t="s">
        <v>1951</v>
      </c>
      <c r="V25" s="1262" t="s">
        <v>1951</v>
      </c>
      <c r="W25" s="1262" t="s">
        <v>1951</v>
      </c>
      <c r="X25" s="1277"/>
      <c r="Y25" s="1284"/>
      <c r="Z25" s="1262"/>
      <c r="AA25" s="1269"/>
      <c r="AB25" s="1262"/>
      <c r="AC25" s="1262"/>
      <c r="AD25" s="1262"/>
    </row>
    <row r="26" ht="18" customHeight="1">
      <c r="A26" s="1279"/>
      <c r="B26" s="1285">
        <v>9</v>
      </c>
      <c r="C26" s="1277" t="s">
        <v>800</v>
      </c>
      <c r="D26" s="1295"/>
      <c r="E26" s="1277"/>
      <c r="F26" s="1277"/>
      <c r="G26" s="1300"/>
      <c r="H26" s="1301"/>
      <c r="I26" s="1297" t="str">
        <f t="shared" si="56"/>
        <v>2.3.1</v>
      </c>
      <c r="J26" s="1297" t="str">
        <f t="shared" si="57"/>
        <v xml:space="preserve">Средневзвешенная стоимость 1 кВт.ч (с учетом мощности)</v>
      </c>
      <c r="K26" s="1297">
        <f t="shared" si="58"/>
        <v>0</v>
      </c>
      <c r="L26" s="1283" t="str">
        <f t="shared" si="59"/>
        <v>2.3.1</v>
      </c>
      <c r="M26" s="1283" t="str">
        <f t="shared" si="60"/>
        <v xml:space="preserve">Средневзвешенная стоимость 1 кВт.ч (с учетом мощности)</v>
      </c>
      <c r="N26" s="1283" t="str">
        <f t="shared" si="61"/>
        <v/>
      </c>
      <c r="O26" s="1298" t="s">
        <v>620</v>
      </c>
      <c r="P26" s="1298" t="s">
        <v>614</v>
      </c>
      <c r="Q26" s="1298" t="s">
        <v>1952</v>
      </c>
      <c r="R26" s="1298" t="s">
        <v>614</v>
      </c>
      <c r="S26" s="1298"/>
      <c r="T26" s="1299" t="s">
        <v>1953</v>
      </c>
      <c r="U26" s="1299" t="s">
        <v>1953</v>
      </c>
      <c r="V26" s="1299" t="s">
        <v>1953</v>
      </c>
      <c r="W26" s="1299" t="s">
        <v>1953</v>
      </c>
      <c r="X26" s="1277"/>
      <c r="Y26" s="1284"/>
      <c r="Z26" s="1262"/>
      <c r="AA26" s="1269"/>
      <c r="AB26" s="1262"/>
      <c r="AC26" s="1262"/>
      <c r="AD26" s="1262"/>
    </row>
    <row r="27" ht="18" customHeight="1">
      <c r="A27" s="1279"/>
      <c r="B27" s="1285">
        <v>10</v>
      </c>
      <c r="C27" s="1277" t="s">
        <v>1954</v>
      </c>
      <c r="D27" s="1295"/>
      <c r="E27" s="1277"/>
      <c r="F27" s="1277"/>
      <c r="G27" s="1300"/>
      <c r="H27" s="1301"/>
      <c r="I27" s="1297" t="str">
        <f t="shared" si="56"/>
        <v>2.3.2</v>
      </c>
      <c r="J27" s="1297" t="str">
        <f t="shared" si="57"/>
        <v xml:space="preserve">Объём приобретения электрической энергии</v>
      </c>
      <c r="K27" s="1297">
        <f t="shared" si="58"/>
        <v>0</v>
      </c>
      <c r="L27" s="1283" t="str">
        <f t="shared" si="59"/>
        <v>2.3.2</v>
      </c>
      <c r="M27" s="1283" t="str">
        <f t="shared" si="60"/>
        <v xml:space="preserve">Объём приобретения электрической энергии</v>
      </c>
      <c r="N27" s="1283" t="str">
        <f t="shared" si="61"/>
        <v/>
      </c>
      <c r="O27" s="1298" t="s">
        <v>622</v>
      </c>
      <c r="P27" s="1298" t="s">
        <v>616</v>
      </c>
      <c r="Q27" s="1298" t="s">
        <v>1955</v>
      </c>
      <c r="R27" s="1298" t="s">
        <v>616</v>
      </c>
      <c r="S27" s="1298"/>
      <c r="T27" s="1299" t="s">
        <v>1956</v>
      </c>
      <c r="U27" s="1299" t="s">
        <v>1956</v>
      </c>
      <c r="V27" s="1299" t="s">
        <v>1956</v>
      </c>
      <c r="W27" s="1299" t="s">
        <v>1956</v>
      </c>
      <c r="X27" s="1277"/>
      <c r="Y27" s="1284"/>
      <c r="Z27" s="1262"/>
      <c r="AA27" s="1269"/>
      <c r="AB27" s="1262"/>
      <c r="AC27" s="1262"/>
      <c r="AD27" s="1262"/>
    </row>
    <row r="28" ht="27" customHeight="1">
      <c r="A28" s="1279"/>
      <c r="B28" s="1285">
        <v>11</v>
      </c>
      <c r="C28" s="1277">
        <v>7</v>
      </c>
      <c r="D28" s="1295"/>
      <c r="E28" s="1277"/>
      <c r="F28" s="1277"/>
      <c r="G28" s="1300"/>
      <c r="H28" s="1301"/>
      <c r="I28" s="1297" t="str">
        <f t="shared" si="56"/>
        <v>2.4</v>
      </c>
      <c r="J28" s="1297" t="str">
        <f t="shared" si="57"/>
        <v xml:space="preserve">Расходы на приобретение холодной воды, используемой в технологическом процессе</v>
      </c>
      <c r="K28" s="1297">
        <f t="shared" si="58"/>
        <v>0</v>
      </c>
      <c r="L28" s="1283" t="str">
        <f t="shared" si="59"/>
        <v>2.4</v>
      </c>
      <c r="M28" s="1283" t="str">
        <f t="shared" si="60"/>
        <v xml:space="preserve">Расходы на приобретение холодной воды, используемой в технологическом процессе</v>
      </c>
      <c r="N28" s="1283" t="str">
        <f t="shared" si="61"/>
        <v/>
      </c>
      <c r="O28" s="1298" t="s">
        <v>624</v>
      </c>
      <c r="P28" s="1298"/>
      <c r="Q28" s="1298"/>
      <c r="R28" s="1298"/>
      <c r="S28" s="1298"/>
      <c r="T28" s="1299" t="s">
        <v>1957</v>
      </c>
      <c r="U28" s="1262"/>
      <c r="V28" s="1262"/>
      <c r="W28" s="1262"/>
      <c r="X28" s="1277"/>
      <c r="Y28" s="1284"/>
      <c r="Z28" s="1262"/>
      <c r="AA28" s="1269"/>
      <c r="AB28" s="1262"/>
      <c r="AC28" s="1262"/>
      <c r="AD28" s="1262"/>
    </row>
    <row r="29" ht="27" customHeight="1">
      <c r="A29" s="1279"/>
      <c r="B29" s="1285">
        <v>12</v>
      </c>
      <c r="C29" s="1277">
        <v>8</v>
      </c>
      <c r="D29" s="1295"/>
      <c r="E29" s="1277"/>
      <c r="F29" s="1277"/>
      <c r="G29" s="1300"/>
      <c r="H29" s="1301"/>
      <c r="I29" s="1297" t="str">
        <f t="shared" si="56"/>
        <v>2.5</v>
      </c>
      <c r="J29" s="1297" t="str">
        <f t="shared" si="57"/>
        <v xml:space="preserve">Расходы на химические реагенты, используемые в технологическом процессе</v>
      </c>
      <c r="K29" s="1297">
        <f t="shared" si="58"/>
        <v>0</v>
      </c>
      <c r="L29" s="1283" t="str">
        <f t="shared" si="59"/>
        <v>2.5</v>
      </c>
      <c r="M29" s="1283" t="str">
        <f t="shared" si="60"/>
        <v xml:space="preserve">Расходы на химические реагенты, используемые в технологическом процессе</v>
      </c>
      <c r="N29" s="1283" t="str">
        <f t="shared" si="61"/>
        <v/>
      </c>
      <c r="O29" s="1298" t="s">
        <v>631</v>
      </c>
      <c r="P29" s="1298" t="s">
        <v>298</v>
      </c>
      <c r="Q29" s="1298"/>
      <c r="R29" s="1298" t="s">
        <v>298</v>
      </c>
      <c r="S29" s="1298"/>
      <c r="T29" s="1299" t="s">
        <v>1958</v>
      </c>
      <c r="U29" s="1262" t="s">
        <v>1958</v>
      </c>
      <c r="V29" s="1262"/>
      <c r="W29" s="1262" t="s">
        <v>1958</v>
      </c>
      <c r="X29" s="1277"/>
      <c r="Y29" s="1284"/>
      <c r="Z29" s="1262"/>
      <c r="AA29" s="1269"/>
      <c r="AB29" s="1262"/>
      <c r="AC29" s="1262"/>
      <c r="AD29" s="1262"/>
    </row>
    <row r="30" ht="54" customHeight="1">
      <c r="A30" s="1279"/>
      <c r="B30" s="1285">
        <v>13</v>
      </c>
      <c r="C30" s="1277">
        <v>9</v>
      </c>
      <c r="D30" s="1295"/>
      <c r="E30" s="1277"/>
      <c r="F30" s="1277"/>
      <c r="G30" s="1300"/>
      <c r="H30" s="1301"/>
      <c r="I30" s="1297" t="str">
        <f t="shared" si="56"/>
        <v>2.6</v>
      </c>
      <c r="J30" s="1297" t="str">
        <f t="shared" si="57"/>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97">
        <f t="shared" si="58"/>
        <v>0</v>
      </c>
      <c r="L30" s="1283" t="str">
        <f t="shared" si="59"/>
        <v>2.6</v>
      </c>
      <c r="M30" s="1283" t="str">
        <f t="shared" si="60"/>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83" t="str">
        <f t="shared" si="61"/>
        <v/>
      </c>
      <c r="O30" s="1298" t="s">
        <v>633</v>
      </c>
      <c r="P30" s="1298" t="s">
        <v>624</v>
      </c>
      <c r="Q30" s="1298" t="s">
        <v>633</v>
      </c>
      <c r="R30" s="1298" t="s">
        <v>624</v>
      </c>
      <c r="S30" s="1298"/>
      <c r="T30" s="1299" t="s">
        <v>1959</v>
      </c>
      <c r="U30" s="1262" t="s">
        <v>1959</v>
      </c>
      <c r="V30" s="1262" t="s">
        <v>1959</v>
      </c>
      <c r="W30" s="1262" t="s">
        <v>1959</v>
      </c>
      <c r="X30" s="1277"/>
      <c r="Y30" s="1284"/>
      <c r="Z30" s="1262"/>
      <c r="AA30" s="1269" t="s">
        <v>1960</v>
      </c>
      <c r="AB30" s="1269" t="s">
        <v>1960</v>
      </c>
      <c r="AC30" s="1269" t="s">
        <v>1960</v>
      </c>
      <c r="AD30" s="1262"/>
    </row>
    <row r="31" ht="18" customHeight="1">
      <c r="A31" s="1279"/>
      <c r="B31" s="1285">
        <v>14</v>
      </c>
      <c r="C31" s="1277" t="s">
        <v>1961</v>
      </c>
      <c r="D31" s="1295"/>
      <c r="E31" s="1277"/>
      <c r="F31" s="1277"/>
      <c r="G31" s="1300"/>
      <c r="H31" s="1301"/>
      <c r="I31" s="1297" t="str">
        <f t="shared" si="56"/>
        <v>2.6.1</v>
      </c>
      <c r="J31" s="1297" t="str">
        <f t="shared" si="57"/>
        <v xml:space="preserve">Расходы на оплату труда основного производственного персонала</v>
      </c>
      <c r="K31" s="1297">
        <f t="shared" si="58"/>
        <v>0</v>
      </c>
      <c r="L31" s="1283" t="str">
        <f t="shared" si="59"/>
        <v>2.6.1</v>
      </c>
      <c r="M31" s="1283" t="str">
        <f t="shared" si="60"/>
        <v xml:space="preserve">Расходы на оплату труда основного производственного персонала</v>
      </c>
      <c r="N31" s="1283" t="str">
        <f t="shared" si="61"/>
        <v/>
      </c>
      <c r="O31" s="1298" t="s">
        <v>1962</v>
      </c>
      <c r="P31" s="1298" t="s">
        <v>627</v>
      </c>
      <c r="Q31" s="1298" t="s">
        <v>1962</v>
      </c>
      <c r="R31" s="1298" t="s">
        <v>627</v>
      </c>
      <c r="S31" s="1298"/>
      <c r="T31" s="1302" t="s">
        <v>1963</v>
      </c>
      <c r="U31" s="1262" t="s">
        <v>1963</v>
      </c>
      <c r="V31" s="1262" t="s">
        <v>1963</v>
      </c>
      <c r="W31" s="1262" t="s">
        <v>1963</v>
      </c>
      <c r="X31" s="1277"/>
      <c r="Y31" s="1284"/>
      <c r="Z31" s="1262"/>
      <c r="AA31" s="1269"/>
      <c r="AB31" s="1269"/>
      <c r="AC31" s="1269"/>
      <c r="AD31" s="1262"/>
    </row>
    <row r="32" ht="36" customHeight="1">
      <c r="A32" s="1279"/>
      <c r="B32" s="1285">
        <v>15</v>
      </c>
      <c r="C32" s="1277" t="s">
        <v>1964</v>
      </c>
      <c r="D32" s="1295"/>
      <c r="E32" s="1277"/>
      <c r="F32" s="1277"/>
      <c r="G32" s="1300"/>
      <c r="H32" s="1301"/>
      <c r="I32" s="1297" t="str">
        <f t="shared" si="56"/>
        <v>2.6.2</v>
      </c>
      <c r="J32" s="1297" t="str">
        <f t="shared" si="57"/>
        <v xml:space="preserve">Страховые взносы на обязательное социальное страхование, выплачиваемые из фонда оплаты труда основного производственного персонала</v>
      </c>
      <c r="K32" s="1297">
        <f t="shared" si="58"/>
        <v>0</v>
      </c>
      <c r="L32" s="1283" t="str">
        <f t="shared" si="59"/>
        <v>2.6.2</v>
      </c>
      <c r="M32" s="1283" t="str">
        <f t="shared" si="60"/>
        <v xml:space="preserve">Страховые взносы на обязательное социальное страхование, выплачиваемые из фонда оплаты труда основного производственного персонала</v>
      </c>
      <c r="N32" s="1283" t="str">
        <f t="shared" si="61"/>
        <v/>
      </c>
      <c r="O32" s="1298" t="s">
        <v>1965</v>
      </c>
      <c r="P32" s="1298" t="s">
        <v>629</v>
      </c>
      <c r="Q32" s="1298" t="s">
        <v>1965</v>
      </c>
      <c r="R32" s="1298" t="s">
        <v>629</v>
      </c>
      <c r="S32" s="1298"/>
      <c r="T32" s="1303" t="s">
        <v>1966</v>
      </c>
      <c r="U32" s="1262" t="s">
        <v>1966</v>
      </c>
      <c r="V32" s="1262" t="s">
        <v>1966</v>
      </c>
      <c r="W32" s="1262" t="s">
        <v>1966</v>
      </c>
      <c r="X32" s="1277"/>
      <c r="Y32" s="1284"/>
      <c r="Z32" s="1262"/>
      <c r="AA32" s="1269"/>
      <c r="AB32" s="1269"/>
      <c r="AC32" s="1269"/>
      <c r="AD32" s="1262"/>
    </row>
    <row r="33" ht="45" customHeight="1">
      <c r="A33" s="1279"/>
      <c r="B33" s="1285">
        <v>16</v>
      </c>
      <c r="C33" s="1277">
        <v>10</v>
      </c>
      <c r="D33" s="1295"/>
      <c r="E33" s="1277"/>
      <c r="F33" s="1277"/>
      <c r="G33" s="1300"/>
      <c r="H33" s="1301"/>
      <c r="I33" s="1297" t="str">
        <f t="shared" si="56"/>
        <v>2.7</v>
      </c>
      <c r="J33" s="1297" t="str">
        <f t="shared" si="57"/>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97">
        <f t="shared" si="58"/>
        <v>0</v>
      </c>
      <c r="L33" s="1283" t="str">
        <f t="shared" si="59"/>
        <v>2.7</v>
      </c>
      <c r="M33" s="1283" t="str">
        <f t="shared" si="60"/>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83" t="str">
        <f t="shared" si="61"/>
        <v/>
      </c>
      <c r="O33" s="1298" t="s">
        <v>635</v>
      </c>
      <c r="P33" s="1298" t="s">
        <v>631</v>
      </c>
      <c r="Q33" s="1298" t="s">
        <v>635</v>
      </c>
      <c r="R33" s="1298" t="s">
        <v>631</v>
      </c>
      <c r="S33" s="1298"/>
      <c r="T33" s="1302" t="s">
        <v>1967</v>
      </c>
      <c r="U33" s="1262" t="s">
        <v>1967</v>
      </c>
      <c r="V33" s="1262" t="s">
        <v>1967</v>
      </c>
      <c r="W33" s="1262" t="s">
        <v>1968</v>
      </c>
      <c r="X33" s="1277"/>
      <c r="Y33" s="1284"/>
      <c r="Z33" s="1262"/>
      <c r="AA33" s="1269" t="s">
        <v>1969</v>
      </c>
      <c r="AB33" s="1269" t="s">
        <v>1969</v>
      </c>
      <c r="AC33" s="1269" t="s">
        <v>1969</v>
      </c>
      <c r="AD33" s="1262"/>
    </row>
    <row r="34" ht="27" customHeight="1">
      <c r="A34" s="1279"/>
      <c r="B34" s="1285">
        <v>17</v>
      </c>
      <c r="C34" s="1277" t="s">
        <v>1970</v>
      </c>
      <c r="D34" s="1295"/>
      <c r="E34" s="1277"/>
      <c r="F34" s="1277"/>
      <c r="G34" s="1300"/>
      <c r="H34" s="1301"/>
      <c r="I34" s="1297" t="str">
        <f t="shared" si="56"/>
        <v>2.7.1</v>
      </c>
      <c r="J34" s="1297" t="str">
        <f t="shared" si="57"/>
        <v xml:space="preserve">Расходы на оплату труда административно-управленческого персонала</v>
      </c>
      <c r="K34" s="1297">
        <f t="shared" si="58"/>
        <v>0</v>
      </c>
      <c r="L34" s="1283" t="str">
        <f t="shared" si="59"/>
        <v>2.7.1</v>
      </c>
      <c r="M34" s="1283" t="str">
        <f t="shared" si="60"/>
        <v xml:space="preserve">Расходы на оплату труда административно-управленческого персонала</v>
      </c>
      <c r="N34" s="1283" t="str">
        <f t="shared" si="61"/>
        <v/>
      </c>
      <c r="O34" s="1298" t="s">
        <v>1971</v>
      </c>
      <c r="P34" s="1298" t="s">
        <v>1952</v>
      </c>
      <c r="Q34" s="1298" t="s">
        <v>1971</v>
      </c>
      <c r="R34" s="1298" t="s">
        <v>1952</v>
      </c>
      <c r="S34" s="1298"/>
      <c r="T34" s="1303" t="s">
        <v>1972</v>
      </c>
      <c r="U34" s="1262" t="s">
        <v>1972</v>
      </c>
      <c r="V34" s="1262" t="s">
        <v>1972</v>
      </c>
      <c r="W34" s="1262" t="s">
        <v>1973</v>
      </c>
      <c r="X34" s="1277"/>
      <c r="Y34" s="1284"/>
      <c r="Z34" s="1262"/>
      <c r="AA34" s="1269"/>
      <c r="AB34" s="1262"/>
      <c r="AC34" s="1262"/>
      <c r="AD34" s="1262"/>
    </row>
    <row r="35" ht="45" customHeight="1">
      <c r="A35" s="1279"/>
      <c r="B35" s="1285">
        <v>18</v>
      </c>
      <c r="C35" s="1277" t="s">
        <v>1974</v>
      </c>
      <c r="D35" s="1295"/>
      <c r="E35" s="1277"/>
      <c r="F35" s="1277"/>
      <c r="G35" s="1300"/>
      <c r="H35" s="1301"/>
      <c r="I35" s="1297" t="str">
        <f t="shared" si="56"/>
        <v>2.7.2</v>
      </c>
      <c r="J35" s="1297" t="str">
        <f t="shared" si="57"/>
        <v xml:space="preserve">Страховые взносы на обязательное социальное страхование, выплачиваемые из фонда оплаты труда административно-управленческого персонала</v>
      </c>
      <c r="K35" s="1297">
        <f t="shared" si="58"/>
        <v>0</v>
      </c>
      <c r="L35" s="1283" t="str">
        <f t="shared" si="59"/>
        <v>2.7.2</v>
      </c>
      <c r="M35" s="1283" t="str">
        <f t="shared" si="60"/>
        <v xml:space="preserve">Страховые взносы на обязательное социальное страхование, выплачиваемые из фонда оплаты труда административно-управленческого персонала</v>
      </c>
      <c r="N35" s="1283" t="str">
        <f t="shared" si="61"/>
        <v/>
      </c>
      <c r="O35" s="1298" t="s">
        <v>1975</v>
      </c>
      <c r="P35" s="1298" t="s">
        <v>1955</v>
      </c>
      <c r="Q35" s="1298" t="s">
        <v>1975</v>
      </c>
      <c r="R35" s="1298" t="s">
        <v>1955</v>
      </c>
      <c r="S35" s="1298"/>
      <c r="T35" s="1299" t="s">
        <v>1976</v>
      </c>
      <c r="U35" s="1262" t="s">
        <v>1976</v>
      </c>
      <c r="V35" s="1262" t="s">
        <v>1976</v>
      </c>
      <c r="W35" s="1262" t="s">
        <v>1976</v>
      </c>
      <c r="X35" s="1277"/>
      <c r="Y35" s="1284"/>
      <c r="Z35" s="1262"/>
      <c r="AA35" s="1269"/>
      <c r="AB35" s="1262"/>
      <c r="AC35" s="1262"/>
      <c r="AD35" s="1262"/>
    </row>
    <row r="36" ht="18" customHeight="1">
      <c r="A36" s="1279"/>
      <c r="B36" s="1285">
        <v>19</v>
      </c>
      <c r="C36" s="1277">
        <v>11</v>
      </c>
      <c r="D36" s="1295"/>
      <c r="E36" s="1277"/>
      <c r="F36" s="1277"/>
      <c r="G36" s="1300"/>
      <c r="H36" s="1301"/>
      <c r="I36" s="1297" t="str">
        <f t="shared" si="56"/>
        <v>2.8</v>
      </c>
      <c r="J36" s="1297" t="str">
        <f t="shared" si="57"/>
        <v xml:space="preserve">Расходы на амортизацию основных средств и нематериальных активов</v>
      </c>
      <c r="K36" s="1297">
        <f t="shared" si="58"/>
        <v>0</v>
      </c>
      <c r="L36" s="1283" t="str">
        <f t="shared" si="59"/>
        <v>2.8</v>
      </c>
      <c r="M36" s="1283" t="str">
        <f t="shared" si="60"/>
        <v xml:space="preserve">Расходы на амортизацию основных средств и нематериальных активов</v>
      </c>
      <c r="N36" s="1283" t="str">
        <f t="shared" si="61"/>
        <v/>
      </c>
      <c r="O36" s="1298" t="s">
        <v>637</v>
      </c>
      <c r="P36" s="1298" t="s">
        <v>633</v>
      </c>
      <c r="Q36" s="1298" t="s">
        <v>637</v>
      </c>
      <c r="R36" s="1298" t="s">
        <v>633</v>
      </c>
      <c r="S36" s="1298"/>
      <c r="T36" s="1299" t="s">
        <v>1977</v>
      </c>
      <c r="U36" s="1262" t="s">
        <v>1977</v>
      </c>
      <c r="V36" s="1262" t="s">
        <v>1977</v>
      </c>
      <c r="W36" s="1262" t="s">
        <v>1977</v>
      </c>
      <c r="X36" s="1277"/>
      <c r="Y36" s="1284"/>
      <c r="Z36" s="1262"/>
      <c r="AA36" s="1269"/>
      <c r="AB36" s="1262"/>
      <c r="AC36" s="1262"/>
      <c r="AD36" s="1262"/>
    </row>
    <row r="37" ht="18" customHeight="1">
      <c r="A37" s="1279"/>
      <c r="B37" s="1285">
        <v>20</v>
      </c>
      <c r="C37" s="1277" t="s">
        <v>1978</v>
      </c>
      <c r="D37" s="1295"/>
      <c r="E37" s="1277"/>
      <c r="F37" s="1277"/>
      <c r="G37" s="1300"/>
      <c r="H37" s="1301"/>
      <c r="I37" s="1297" t="str">
        <f t="shared" si="56"/>
        <v>2.8.1</v>
      </c>
      <c r="J37" s="1297" t="str">
        <f t="shared" si="57"/>
        <v xml:space="preserve">Расходы на амортизацию основных средств</v>
      </c>
      <c r="K37" s="1297">
        <f t="shared" si="58"/>
        <v>0</v>
      </c>
      <c r="L37" s="1283" t="str">
        <f t="shared" si="59"/>
        <v>2.8.1</v>
      </c>
      <c r="M37" s="1283" t="str">
        <f t="shared" si="60"/>
        <v xml:space="preserve">Расходы на амортизацию основных средств</v>
      </c>
      <c r="N37" s="1283" t="str">
        <f t="shared" si="61"/>
        <v/>
      </c>
      <c r="O37" s="1298" t="s">
        <v>1979</v>
      </c>
      <c r="P37" s="1298" t="s">
        <v>1962</v>
      </c>
      <c r="Q37" s="1298" t="s">
        <v>1979</v>
      </c>
      <c r="R37" s="1298" t="s">
        <v>1962</v>
      </c>
      <c r="S37" s="1298"/>
      <c r="T37" s="1299" t="s">
        <v>1980</v>
      </c>
      <c r="U37" s="1262" t="s">
        <v>1980</v>
      </c>
      <c r="V37" s="1262" t="s">
        <v>1980</v>
      </c>
      <c r="W37" s="1262" t="s">
        <v>1980</v>
      </c>
      <c r="X37" s="1277"/>
      <c r="Y37" s="1284"/>
      <c r="Z37" s="1262"/>
      <c r="AA37" s="1269"/>
      <c r="AB37" s="1262"/>
      <c r="AC37" s="1262"/>
      <c r="AD37" s="1262"/>
    </row>
    <row r="38" ht="18" customHeight="1">
      <c r="A38" s="1279"/>
      <c r="B38" s="1285">
        <v>21</v>
      </c>
      <c r="C38" s="1277" t="s">
        <v>1981</v>
      </c>
      <c r="D38" s="1295"/>
      <c r="E38" s="1277"/>
      <c r="F38" s="1277"/>
      <c r="G38" s="1300"/>
      <c r="H38" s="1301"/>
      <c r="I38" s="1297" t="str">
        <f t="shared" si="56"/>
        <v>2.8.2</v>
      </c>
      <c r="J38" s="1297" t="str">
        <f t="shared" si="57"/>
        <v xml:space="preserve">Расходы на амортизацию нематериальных активов</v>
      </c>
      <c r="K38" s="1297">
        <f t="shared" si="58"/>
        <v>0</v>
      </c>
      <c r="L38" s="1283" t="str">
        <f t="shared" si="59"/>
        <v>2.8.2</v>
      </c>
      <c r="M38" s="1283" t="str">
        <f t="shared" si="60"/>
        <v xml:space="preserve">Расходы на амортизацию нематериальных активов</v>
      </c>
      <c r="N38" s="1283" t="str">
        <f t="shared" si="61"/>
        <v/>
      </c>
      <c r="O38" s="1298" t="s">
        <v>1982</v>
      </c>
      <c r="P38" s="1298" t="s">
        <v>1965</v>
      </c>
      <c r="Q38" s="1298" t="s">
        <v>1982</v>
      </c>
      <c r="R38" s="1298" t="s">
        <v>1965</v>
      </c>
      <c r="S38" s="1298"/>
      <c r="T38" s="1299" t="s">
        <v>1983</v>
      </c>
      <c r="U38" s="1262" t="s">
        <v>1983</v>
      </c>
      <c r="V38" s="1262" t="s">
        <v>1983</v>
      </c>
      <c r="W38" s="1262" t="s">
        <v>1983</v>
      </c>
      <c r="X38" s="1277"/>
      <c r="Y38" s="1284"/>
      <c r="Z38" s="1262"/>
      <c r="AA38" s="1269"/>
      <c r="AB38" s="1262"/>
      <c r="AC38" s="1262"/>
      <c r="AD38" s="1262"/>
    </row>
    <row r="39" ht="36" customHeight="1">
      <c r="A39" s="1279"/>
      <c r="B39" s="1285">
        <v>22</v>
      </c>
      <c r="C39" s="1277">
        <v>12</v>
      </c>
      <c r="D39" s="1295"/>
      <c r="E39" s="1277"/>
      <c r="F39" s="1277"/>
      <c r="G39" s="1300"/>
      <c r="H39" s="1301"/>
      <c r="I39" s="1297" t="str">
        <f t="shared" si="56"/>
        <v>2.9</v>
      </c>
      <c r="J39" s="1297" t="str">
        <f t="shared" si="57"/>
        <v xml:space="preserve">Расходы на аренду имущества, используемого для осуществления регулируемого вида деятельности</v>
      </c>
      <c r="K39" s="1297">
        <f t="shared" si="58"/>
        <v>0</v>
      </c>
      <c r="L39" s="1283" t="str">
        <f t="shared" si="59"/>
        <v>2.9</v>
      </c>
      <c r="M39" s="1283" t="str">
        <f t="shared" si="60"/>
        <v xml:space="preserve">Расходы на аренду имущества, используемого для осуществления регулируемого вида деятельности</v>
      </c>
      <c r="N39" s="1283" t="str">
        <f t="shared" si="61"/>
        <v/>
      </c>
      <c r="O39" s="1298" t="s">
        <v>641</v>
      </c>
      <c r="P39" s="1298" t="s">
        <v>635</v>
      </c>
      <c r="Q39" s="1298" t="s">
        <v>641</v>
      </c>
      <c r="R39" s="1298" t="s">
        <v>635</v>
      </c>
      <c r="S39" s="1298"/>
      <c r="T39" s="1299" t="s">
        <v>1984</v>
      </c>
      <c r="U39" s="1262" t="s">
        <v>1985</v>
      </c>
      <c r="V39" s="1262" t="s">
        <v>1986</v>
      </c>
      <c r="W39" s="1262" t="s">
        <v>1987</v>
      </c>
      <c r="X39" s="1277"/>
      <c r="Y39" s="1284"/>
      <c r="Z39" s="1262"/>
      <c r="AA39" s="1269"/>
      <c r="AB39" s="1262"/>
      <c r="AC39" s="1262"/>
      <c r="AD39" s="1262"/>
    </row>
    <row r="40" ht="18" customHeight="1">
      <c r="A40" s="1279"/>
      <c r="B40" s="1285">
        <v>23</v>
      </c>
      <c r="C40" s="1277">
        <v>13</v>
      </c>
      <c r="D40" s="1295"/>
      <c r="E40" s="1277"/>
      <c r="F40" s="1277"/>
      <c r="G40" s="1277"/>
      <c r="H40" s="1304"/>
      <c r="I40" s="1297" t="str">
        <f t="shared" si="56"/>
        <v>2.10</v>
      </c>
      <c r="J40" s="1297" t="str">
        <f t="shared" si="57"/>
        <v xml:space="preserve">Общепроизводственные расходы, в том числе:</v>
      </c>
      <c r="K40" s="1297" t="str">
        <f t="shared" si="58"/>
        <v xml:space="preserve">Указывается общая сумма общепроизводственных расходов.</v>
      </c>
      <c r="L40" s="1283" t="str">
        <f t="shared" si="59"/>
        <v>2.10</v>
      </c>
      <c r="M40" s="1283" t="str">
        <f t="shared" si="60"/>
        <v xml:space="preserve">Общепроизводственные расходы, в том числе:</v>
      </c>
      <c r="N40" s="1283" t="str">
        <f t="shared" si="61"/>
        <v xml:space="preserve">Указывается общая сумма общепроизводственных расходов.</v>
      </c>
      <c r="O40" s="1298" t="s">
        <v>1988</v>
      </c>
      <c r="P40" s="1298" t="s">
        <v>637</v>
      </c>
      <c r="Q40" s="1298" t="s">
        <v>1988</v>
      </c>
      <c r="R40" s="1298" t="s">
        <v>637</v>
      </c>
      <c r="S40" s="1298"/>
      <c r="T40" s="1277" t="s">
        <v>1989</v>
      </c>
      <c r="U40" s="1277" t="s">
        <v>1989</v>
      </c>
      <c r="V40" s="1277" t="s">
        <v>1989</v>
      </c>
      <c r="W40" s="1277" t="s">
        <v>1989</v>
      </c>
      <c r="X40" s="1277"/>
      <c r="Y40" s="1284"/>
      <c r="Z40" s="1262" t="s">
        <v>1990</v>
      </c>
      <c r="AA40" s="1269" t="s">
        <v>1990</v>
      </c>
      <c r="AB40" s="1269" t="s">
        <v>1990</v>
      </c>
      <c r="AC40" s="1269" t="s">
        <v>1990</v>
      </c>
      <c r="AD40" s="1262"/>
    </row>
    <row r="41" ht="27" customHeight="1">
      <c r="A41" s="1279"/>
      <c r="B41" s="1285">
        <v>24</v>
      </c>
      <c r="C41" s="1277" t="s">
        <v>1991</v>
      </c>
      <c r="D41" s="1295"/>
      <c r="E41" s="1277"/>
      <c r="F41" s="1277"/>
      <c r="G41" s="1277"/>
      <c r="H41" s="1300"/>
      <c r="I41" s="1297" t="str">
        <f t="shared" si="56"/>
        <v>2.10.1</v>
      </c>
      <c r="J41" s="1297" t="str">
        <f t="shared" si="57"/>
        <v xml:space="preserve">Расходы на текущий ремонт</v>
      </c>
      <c r="K41" s="1297" t="str">
        <f t="shared" si="58"/>
        <v xml:space="preserve">Указываются расходы на текущий ремонт, отнесенные к общепроизводственным расходам.</v>
      </c>
      <c r="L41" s="1283" t="str">
        <f t="shared" si="59"/>
        <v>2.10.1</v>
      </c>
      <c r="M41" s="1283" t="str">
        <f t="shared" si="60"/>
        <v xml:space="preserve">Расходы на текущий ремонт</v>
      </c>
      <c r="N41" s="1283" t="str">
        <f t="shared" si="61"/>
        <v xml:space="preserve">Указываются расходы на текущий ремонт, отнесенные к общепроизводственным расходам.</v>
      </c>
      <c r="O41" s="1298" t="s">
        <v>1992</v>
      </c>
      <c r="P41" s="1298" t="s">
        <v>1979</v>
      </c>
      <c r="Q41" s="1298" t="s">
        <v>1992</v>
      </c>
      <c r="R41" s="1298" t="s">
        <v>1979</v>
      </c>
      <c r="S41" s="1298"/>
      <c r="T41" s="1277" t="s">
        <v>1993</v>
      </c>
      <c r="U41" s="1277" t="s">
        <v>1993</v>
      </c>
      <c r="V41" s="1277" t="s">
        <v>1993</v>
      </c>
      <c r="W41" s="1277" t="s">
        <v>1993</v>
      </c>
      <c r="X41" s="1277"/>
      <c r="Y41" s="1284"/>
      <c r="Z41" s="1262" t="s">
        <v>1994</v>
      </c>
      <c r="AA41" s="1262" t="s">
        <v>1994</v>
      </c>
      <c r="AB41" s="1262" t="s">
        <v>1994</v>
      </c>
      <c r="AC41" s="1262" t="s">
        <v>1994</v>
      </c>
      <c r="AD41" s="1262"/>
    </row>
    <row r="42" ht="27" customHeight="1">
      <c r="A42" s="1279"/>
      <c r="B42" s="1285">
        <v>25</v>
      </c>
      <c r="C42" s="1277" t="s">
        <v>1995</v>
      </c>
      <c r="D42" s="1295"/>
      <c r="E42" s="1277"/>
      <c r="F42" s="1277"/>
      <c r="G42" s="1277"/>
      <c r="H42" s="1300"/>
      <c r="I42" s="1297" t="str">
        <f t="shared" si="56"/>
        <v>2.10.2</v>
      </c>
      <c r="J42" s="1297" t="str">
        <f t="shared" si="57"/>
        <v xml:space="preserve">Расходы на капитальный ремонт</v>
      </c>
      <c r="K42" s="1297" t="str">
        <f t="shared" si="58"/>
        <v xml:space="preserve">Указываются расходы на капитальный ремонт, отнесенные к общепроизводственным расходам.</v>
      </c>
      <c r="L42" s="1283" t="str">
        <f t="shared" si="59"/>
        <v>2.10.2</v>
      </c>
      <c r="M42" s="1283" t="str">
        <f t="shared" si="60"/>
        <v xml:space="preserve">Расходы на капитальный ремонт</v>
      </c>
      <c r="N42" s="1283" t="str">
        <f t="shared" si="61"/>
        <v xml:space="preserve">Указываются расходы на капитальный ремонт, отнесенные к общепроизводственным расходам.</v>
      </c>
      <c r="O42" s="1298" t="s">
        <v>1996</v>
      </c>
      <c r="P42" s="1298" t="s">
        <v>1982</v>
      </c>
      <c r="Q42" s="1298" t="s">
        <v>1996</v>
      </c>
      <c r="R42" s="1298" t="s">
        <v>1982</v>
      </c>
      <c r="S42" s="1298"/>
      <c r="T42" s="1277" t="s">
        <v>1997</v>
      </c>
      <c r="U42" s="1277" t="s">
        <v>1997</v>
      </c>
      <c r="V42" s="1277" t="s">
        <v>1997</v>
      </c>
      <c r="W42" s="1277" t="s">
        <v>1997</v>
      </c>
      <c r="X42" s="1277"/>
      <c r="Y42" s="1284"/>
      <c r="Z42" s="1262" t="s">
        <v>1998</v>
      </c>
      <c r="AA42" s="1262" t="s">
        <v>1998</v>
      </c>
      <c r="AB42" s="1262" t="s">
        <v>1998</v>
      </c>
      <c r="AC42" s="1262" t="s">
        <v>1998</v>
      </c>
      <c r="AD42" s="1262"/>
    </row>
    <row r="43" ht="18" customHeight="1">
      <c r="A43" s="1279"/>
      <c r="B43" s="1285">
        <v>26</v>
      </c>
      <c r="C43" s="1277">
        <v>14</v>
      </c>
      <c r="D43" s="1295"/>
      <c r="E43" s="1277"/>
      <c r="F43" s="1277"/>
      <c r="G43" s="1277"/>
      <c r="H43" s="1300"/>
      <c r="I43" s="1297" t="str">
        <f t="shared" si="56"/>
        <v>2.11</v>
      </c>
      <c r="J43" s="1297" t="str">
        <f t="shared" si="57"/>
        <v xml:space="preserve">Общехозяйственные расходы, в том числе:</v>
      </c>
      <c r="K43" s="1297" t="str">
        <f t="shared" si="58"/>
        <v xml:space="preserve">Указывается общая сумма общехозяйственных расходов.</v>
      </c>
      <c r="L43" s="1283" t="str">
        <f t="shared" si="59"/>
        <v>2.11</v>
      </c>
      <c r="M43" s="1283" t="str">
        <f t="shared" si="60"/>
        <v xml:space="preserve">Общехозяйственные расходы, в том числе:</v>
      </c>
      <c r="N43" s="1283" t="str">
        <f t="shared" si="61"/>
        <v xml:space="preserve">Указывается общая сумма общехозяйственных расходов.</v>
      </c>
      <c r="O43" s="1298" t="s">
        <v>1999</v>
      </c>
      <c r="P43" s="1298" t="s">
        <v>641</v>
      </c>
      <c r="Q43" s="1298" t="s">
        <v>1999</v>
      </c>
      <c r="R43" s="1298" t="s">
        <v>641</v>
      </c>
      <c r="S43" s="1298"/>
      <c r="T43" s="1277" t="s">
        <v>2000</v>
      </c>
      <c r="U43" s="1277" t="s">
        <v>2000</v>
      </c>
      <c r="V43" s="1277" t="s">
        <v>2000</v>
      </c>
      <c r="W43" s="1277" t="s">
        <v>2000</v>
      </c>
      <c r="X43" s="1277"/>
      <c r="Y43" s="1284"/>
      <c r="Z43" s="1262" t="s">
        <v>2001</v>
      </c>
      <c r="AA43" s="1262" t="s">
        <v>2001</v>
      </c>
      <c r="AB43" s="1262" t="s">
        <v>2001</v>
      </c>
      <c r="AC43" s="1262" t="s">
        <v>2001</v>
      </c>
      <c r="AD43" s="1262"/>
    </row>
    <row r="44" ht="27" customHeight="1">
      <c r="A44" s="1279"/>
      <c r="B44" s="1285">
        <v>27</v>
      </c>
      <c r="C44" s="1277" t="s">
        <v>2002</v>
      </c>
      <c r="D44" s="1295"/>
      <c r="E44" s="1277"/>
      <c r="F44" s="1277"/>
      <c r="G44" s="1277"/>
      <c r="H44" s="1300"/>
      <c r="I44" s="1297" t="str">
        <f t="shared" si="56"/>
        <v>2.11.1</v>
      </c>
      <c r="J44" s="1297" t="str">
        <f t="shared" si="57"/>
        <v xml:space="preserve">Расходы на текущий ремонт</v>
      </c>
      <c r="K44" s="1297" t="str">
        <f t="shared" si="58"/>
        <v xml:space="preserve">Указываются расходы на текущий ремонт, отнесенные к общехозяйственным расходам.</v>
      </c>
      <c r="L44" s="1283" t="str">
        <f t="shared" si="59"/>
        <v>2.11.1</v>
      </c>
      <c r="M44" s="1283" t="str">
        <f t="shared" si="60"/>
        <v xml:space="preserve">Расходы на текущий ремонт</v>
      </c>
      <c r="N44" s="1283" t="str">
        <f t="shared" si="61"/>
        <v xml:space="preserve">Указываются расходы на текущий ремонт, отнесенные к общехозяйственным расходам.</v>
      </c>
      <c r="O44" s="1298" t="s">
        <v>2003</v>
      </c>
      <c r="P44" s="1298" t="s">
        <v>2004</v>
      </c>
      <c r="Q44" s="1298" t="s">
        <v>2003</v>
      </c>
      <c r="R44" s="1298" t="s">
        <v>2004</v>
      </c>
      <c r="S44" s="1298"/>
      <c r="T44" s="1277" t="s">
        <v>1993</v>
      </c>
      <c r="U44" s="1277" t="s">
        <v>1993</v>
      </c>
      <c r="V44" s="1277" t="s">
        <v>1993</v>
      </c>
      <c r="W44" s="1277" t="s">
        <v>1993</v>
      </c>
      <c r="X44" s="1277"/>
      <c r="Y44" s="1284"/>
      <c r="Z44" s="1262" t="s">
        <v>2005</v>
      </c>
      <c r="AA44" s="1262" t="s">
        <v>2005</v>
      </c>
      <c r="AB44" s="1262" t="s">
        <v>2005</v>
      </c>
      <c r="AC44" s="1262" t="s">
        <v>2005</v>
      </c>
      <c r="AD44" s="1262"/>
    </row>
    <row r="45" ht="27" customHeight="1">
      <c r="A45" s="1279"/>
      <c r="B45" s="1285">
        <v>28</v>
      </c>
      <c r="C45" s="1277" t="s">
        <v>2006</v>
      </c>
      <c r="D45" s="1295"/>
      <c r="E45" s="1277"/>
      <c r="F45" s="1277"/>
      <c r="G45" s="1277"/>
      <c r="H45" s="1300"/>
      <c r="I45" s="1297" t="str">
        <f t="shared" si="56"/>
        <v>2.11.2</v>
      </c>
      <c r="J45" s="1297" t="str">
        <f t="shared" si="57"/>
        <v xml:space="preserve">Расходы на капитальный ремонт</v>
      </c>
      <c r="K45" s="1297" t="str">
        <f t="shared" si="58"/>
        <v xml:space="preserve">Указываются расходы на капитальный ремонт, отнесенные к общехозяйственным расходам.</v>
      </c>
      <c r="L45" s="1283" t="str">
        <f t="shared" si="59"/>
        <v>2.11.2</v>
      </c>
      <c r="M45" s="1283" t="str">
        <f t="shared" si="60"/>
        <v xml:space="preserve">Расходы на капитальный ремонт</v>
      </c>
      <c r="N45" s="1283" t="str">
        <f t="shared" si="61"/>
        <v xml:space="preserve">Указываются расходы на капитальный ремонт, отнесенные к общехозяйственным расходам.</v>
      </c>
      <c r="O45" s="1298" t="s">
        <v>2007</v>
      </c>
      <c r="P45" s="1298" t="s">
        <v>2008</v>
      </c>
      <c r="Q45" s="1298" t="s">
        <v>2007</v>
      </c>
      <c r="R45" s="1298" t="s">
        <v>2008</v>
      </c>
      <c r="S45" s="1298"/>
      <c r="T45" s="1277" t="s">
        <v>1997</v>
      </c>
      <c r="U45" s="1277" t="s">
        <v>1997</v>
      </c>
      <c r="V45" s="1277" t="s">
        <v>1997</v>
      </c>
      <c r="W45" s="1277" t="s">
        <v>1997</v>
      </c>
      <c r="X45" s="1277"/>
      <c r="Y45" s="1284"/>
      <c r="Z45" s="1262" t="s">
        <v>2009</v>
      </c>
      <c r="AA45" s="1262" t="s">
        <v>2009</v>
      </c>
      <c r="AB45" s="1262" t="s">
        <v>2009</v>
      </c>
      <c r="AC45" s="1262" t="s">
        <v>2009</v>
      </c>
      <c r="AD45" s="1262"/>
    </row>
    <row r="46" ht="54" customHeight="1">
      <c r="A46" s="1279"/>
      <c r="B46" s="1285">
        <v>29</v>
      </c>
      <c r="C46" s="1277">
        <v>15</v>
      </c>
      <c r="D46" s="1295"/>
      <c r="E46" s="1277"/>
      <c r="F46" s="1277"/>
      <c r="G46" s="1277"/>
      <c r="H46" s="1300"/>
      <c r="I46" s="1297" t="str">
        <f t="shared" si="56"/>
        <v>2.12</v>
      </c>
      <c r="J46" s="1297" t="str">
        <f t="shared" si="57"/>
        <v xml:space="preserve">Расходы на капитальный и текущий ремонт основных средств</v>
      </c>
      <c r="K46" s="1297" t="str">
        <f t="shared" si="58"/>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83" t="str">
        <f t="shared" si="59"/>
        <v>2.12</v>
      </c>
      <c r="M46" s="1283" t="str">
        <f t="shared" si="60"/>
        <v xml:space="preserve">Расходы на капитальный и текущий ремонт основных средств</v>
      </c>
      <c r="N46" s="1283" t="str">
        <f t="shared" si="61"/>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2010</v>
      </c>
      <c r="P46" s="1298" t="s">
        <v>1988</v>
      </c>
      <c r="Q46" s="1298" t="s">
        <v>2010</v>
      </c>
      <c r="R46" s="1298" t="s">
        <v>1988</v>
      </c>
      <c r="S46" s="1298"/>
      <c r="T46" s="1277" t="s">
        <v>2011</v>
      </c>
      <c r="U46" s="1277" t="s">
        <v>2011</v>
      </c>
      <c r="V46" s="1277" t="s">
        <v>2011</v>
      </c>
      <c r="W46" s="1277" t="s">
        <v>2011</v>
      </c>
      <c r="X46" s="1277"/>
      <c r="Y46" s="1284"/>
      <c r="Z46" s="1262" t="s">
        <v>2012</v>
      </c>
      <c r="AA46" s="1262" t="s">
        <v>2013</v>
      </c>
      <c r="AB46" s="1262" t="s">
        <v>2013</v>
      </c>
      <c r="AC46" s="1262" t="s">
        <v>2013</v>
      </c>
      <c r="AD46" s="1262"/>
    </row>
    <row r="47" ht="54" customHeight="1">
      <c r="A47" s="1279"/>
      <c r="B47" s="1285">
        <v>30</v>
      </c>
      <c r="C47" s="1277" t="s">
        <v>2014</v>
      </c>
      <c r="D47" s="1295"/>
      <c r="E47" s="1277"/>
      <c r="F47" s="1277"/>
      <c r="G47" s="1277"/>
      <c r="H47" s="1300"/>
      <c r="I47" s="1297" t="str">
        <f t="shared" si="56"/>
        <v>2.12.1</v>
      </c>
      <c r="J47" s="1297" t="str">
        <f t="shared" si="57"/>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97">
        <f t="shared" si="58"/>
        <v>0</v>
      </c>
      <c r="L47" s="1283" t="str">
        <f t="shared" si="59"/>
        <v>2.12.1</v>
      </c>
      <c r="M47" s="1283" t="str">
        <f t="shared" si="60"/>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83" t="str">
        <f t="shared" si="61"/>
        <v/>
      </c>
      <c r="O47" s="1298" t="s">
        <v>2015</v>
      </c>
      <c r="P47" s="1298" t="s">
        <v>1992</v>
      </c>
      <c r="Q47" s="1298" t="s">
        <v>2015</v>
      </c>
      <c r="R47" s="1298" t="s">
        <v>1992</v>
      </c>
      <c r="S47" s="1298"/>
      <c r="T47" s="1277" t="s">
        <v>2016</v>
      </c>
      <c r="U47" s="1277" t="s">
        <v>2016</v>
      </c>
      <c r="V47" s="1277" t="s">
        <v>2016</v>
      </c>
      <c r="W47" s="1277" t="s">
        <v>2016</v>
      </c>
      <c r="X47" s="1277"/>
      <c r="Y47" s="1284"/>
      <c r="Z47" s="1262"/>
      <c r="AA47" s="1269"/>
      <c r="AB47" s="1269"/>
      <c r="AC47" s="1269"/>
      <c r="AD47" s="1262"/>
    </row>
    <row r="48" ht="54" customHeight="1">
      <c r="A48" s="1279"/>
      <c r="B48" s="1285">
        <v>31</v>
      </c>
      <c r="C48" s="1277">
        <v>16</v>
      </c>
      <c r="D48" s="1295"/>
      <c r="E48" s="1277"/>
      <c r="F48" s="1277"/>
      <c r="G48" s="1277"/>
      <c r="H48" s="1300"/>
      <c r="I48" s="1297">
        <f t="shared" si="56"/>
        <v>0</v>
      </c>
      <c r="J48" s="1297">
        <f t="shared" si="57"/>
        <v>0</v>
      </c>
      <c r="K48" s="1297">
        <f t="shared" si="58"/>
        <v>0</v>
      </c>
      <c r="L48" s="1283" t="str">
        <f t="shared" si="59"/>
        <v/>
      </c>
      <c r="M48" s="1283" t="str">
        <f t="shared" si="60"/>
        <v/>
      </c>
      <c r="N48" s="1283" t="str">
        <f t="shared" si="61"/>
        <v/>
      </c>
      <c r="O48" s="1298"/>
      <c r="P48" s="1298" t="s">
        <v>1999</v>
      </c>
      <c r="Q48" s="1298" t="s">
        <v>2017</v>
      </c>
      <c r="R48" s="1298" t="s">
        <v>1999</v>
      </c>
      <c r="S48" s="1298"/>
      <c r="T48" s="1277"/>
      <c r="U48" s="1277" t="s">
        <v>2018</v>
      </c>
      <c r="V48" s="1277" t="s">
        <v>2019</v>
      </c>
      <c r="W48" s="1277" t="s">
        <v>2019</v>
      </c>
      <c r="X48" s="1277"/>
      <c r="Y48" s="1284"/>
      <c r="Z48" s="1262"/>
      <c r="AA48" s="1269" t="s">
        <v>2013</v>
      </c>
      <c r="AB48" s="1269" t="s">
        <v>2013</v>
      </c>
      <c r="AC48" s="1269" t="s">
        <v>2013</v>
      </c>
      <c r="AD48" s="1262"/>
    </row>
    <row r="49" ht="54" customHeight="1">
      <c r="A49" s="1279"/>
      <c r="B49" s="1285">
        <v>32</v>
      </c>
      <c r="C49" s="1277" t="s">
        <v>2020</v>
      </c>
      <c r="D49" s="1295"/>
      <c r="E49" s="1277"/>
      <c r="F49" s="1277"/>
      <c r="G49" s="1277"/>
      <c r="H49" s="1300"/>
      <c r="I49" s="1297">
        <f t="shared" si="56"/>
        <v>0</v>
      </c>
      <c r="J49" s="1297">
        <f t="shared" si="57"/>
        <v>0</v>
      </c>
      <c r="K49" s="1297">
        <f t="shared" si="58"/>
        <v>0</v>
      </c>
      <c r="L49" s="1283" t="str">
        <f t="shared" si="59"/>
        <v/>
      </c>
      <c r="M49" s="1283" t="str">
        <f t="shared" si="60"/>
        <v/>
      </c>
      <c r="N49" s="1283" t="str">
        <f t="shared" si="61"/>
        <v/>
      </c>
      <c r="O49" s="1298"/>
      <c r="P49" s="1298" t="s">
        <v>2003</v>
      </c>
      <c r="Q49" s="1298" t="s">
        <v>2021</v>
      </c>
      <c r="R49" s="1298" t="s">
        <v>2003</v>
      </c>
      <c r="S49" s="1298"/>
      <c r="T49" s="1277"/>
      <c r="U49" s="1277" t="s">
        <v>2016</v>
      </c>
      <c r="V49" s="1277" t="s">
        <v>2016</v>
      </c>
      <c r="W49" s="1277" t="s">
        <v>2016</v>
      </c>
      <c r="X49" s="1277"/>
      <c r="Y49" s="1284"/>
      <c r="Z49" s="1262"/>
      <c r="AA49" s="1269"/>
      <c r="AB49" s="1269"/>
      <c r="AC49" s="1269"/>
      <c r="AD49" s="1262"/>
    </row>
    <row r="50" ht="126" customHeight="1">
      <c r="A50" s="1279"/>
      <c r="B50" s="1285">
        <v>33</v>
      </c>
      <c r="C50" s="1277">
        <v>17</v>
      </c>
      <c r="D50" s="1295"/>
      <c r="E50" s="1277"/>
      <c r="F50" s="1277"/>
      <c r="G50" s="1277"/>
      <c r="H50" s="1300"/>
      <c r="I50" s="1297" t="str">
        <f t="shared" si="56"/>
        <v>2.13</v>
      </c>
      <c r="J50" s="1297" t="str">
        <f t="shared" si="57"/>
        <v xml:space="preserve">Прочие расходы, которые подлежат отнесению на регулируемые виды деятельности в соответствии с законодательством Российской Федерации</v>
      </c>
      <c r="K50" s="1297" t="str">
        <f t="shared" si="58"/>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83" t="str">
        <f t="shared" si="59"/>
        <v>2.13</v>
      </c>
      <c r="M50" s="1283" t="str">
        <f t="shared" si="60"/>
        <v xml:space="preserve">Прочие расходы, которые подлежат отнесению на регулируемые виды деятельности в соответствии с законодательством Российской Федерации</v>
      </c>
      <c r="N50" s="1283" t="str">
        <f t="shared" si="61"/>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98" t="s">
        <v>2017</v>
      </c>
      <c r="P50" s="1298" t="s">
        <v>2010</v>
      </c>
      <c r="Q50" s="1298" t="s">
        <v>2022</v>
      </c>
      <c r="R50" s="1298" t="s">
        <v>2010</v>
      </c>
      <c r="S50" s="1298"/>
      <c r="T50" s="1277" t="s">
        <v>2023</v>
      </c>
      <c r="U50" s="1277" t="s">
        <v>2024</v>
      </c>
      <c r="V50" s="1277" t="s">
        <v>2025</v>
      </c>
      <c r="W50" s="1277" t="s">
        <v>2026</v>
      </c>
      <c r="X50" s="1277"/>
      <c r="Y50" s="1284"/>
      <c r="Z50" s="1262" t="s">
        <v>2027</v>
      </c>
      <c r="AA50" s="1269" t="s">
        <v>2028</v>
      </c>
      <c r="AB50" s="1269" t="s">
        <v>2028</v>
      </c>
      <c r="AC50" s="1269" t="s">
        <v>2028</v>
      </c>
      <c r="AD50" s="1262"/>
    </row>
    <row r="51" ht="27" customHeight="1">
      <c r="A51" s="1279"/>
      <c r="B51" s="1285">
        <v>34</v>
      </c>
      <c r="C51" s="1277" t="s">
        <v>2029</v>
      </c>
      <c r="D51" s="1295"/>
      <c r="E51" s="1277"/>
      <c r="F51" s="1277"/>
      <c r="G51" s="1277"/>
      <c r="H51" s="1300"/>
      <c r="I51" s="1297" t="str">
        <f t="shared" si="56"/>
        <v>3</v>
      </c>
      <c r="J51" s="1297" t="str">
        <f t="shared" si="57"/>
        <v xml:space="preserve">Валовая прибыль (убытки) от реализации товаров и оказания услуг по регулируемому виду деятельности</v>
      </c>
      <c r="K51" s="1297">
        <f t="shared" si="58"/>
        <v>0</v>
      </c>
      <c r="L51" s="1283" t="str">
        <f t="shared" si="59"/>
        <v>3</v>
      </c>
      <c r="M51" s="1283" t="str">
        <f t="shared" si="60"/>
        <v xml:space="preserve">Валовая прибыль (убытки) от реализации товаров и оказания услуг по регулируемому виду деятельности</v>
      </c>
      <c r="N51" s="1283" t="str">
        <f t="shared" si="61"/>
        <v/>
      </c>
      <c r="O51" s="1298" t="s">
        <v>87</v>
      </c>
      <c r="P51" s="1298"/>
      <c r="Q51" s="1298"/>
      <c r="R51" s="1298"/>
      <c r="S51" s="1298"/>
      <c r="T51" s="1277" t="s">
        <v>2030</v>
      </c>
      <c r="U51" s="1277"/>
      <c r="V51" s="1277"/>
      <c r="W51" s="1277"/>
      <c r="X51" s="1277"/>
      <c r="Y51" s="1284"/>
      <c r="Z51" s="1262"/>
      <c r="AA51" s="1269"/>
      <c r="AB51" s="1269"/>
      <c r="AC51" s="1269"/>
      <c r="AD51" s="1262"/>
    </row>
    <row r="52" ht="36" customHeight="1">
      <c r="A52" s="1279"/>
      <c r="B52" s="1285">
        <v>35</v>
      </c>
      <c r="C52" s="1277" t="s">
        <v>1922</v>
      </c>
      <c r="D52" s="1295" t="s">
        <v>1922</v>
      </c>
      <c r="E52" s="1277" t="s">
        <v>1922</v>
      </c>
      <c r="F52" s="1277" t="s">
        <v>1922</v>
      </c>
      <c r="G52" s="1277"/>
      <c r="H52" s="1300"/>
      <c r="I52" s="1297" t="str">
        <f t="shared" si="56"/>
        <v>4</v>
      </c>
      <c r="J52" s="1297" t="str">
        <f t="shared" si="57"/>
        <v xml:space="preserve">Чистая прибыль, полученная от регулируемого вида деятельности, в том числе:</v>
      </c>
      <c r="K52" s="1297" t="str">
        <f t="shared" si="58"/>
        <v xml:space="preserve">Указывается общая сумма чистой прибыли, полученной от регулируемого вида деятельности.</v>
      </c>
      <c r="L52" s="1283" t="str">
        <f t="shared" si="59"/>
        <v>4</v>
      </c>
      <c r="M52" s="1283" t="str">
        <f t="shared" si="60"/>
        <v xml:space="preserve">Чистая прибыль, полученная от регулируемого вида деятельности, в том числе:</v>
      </c>
      <c r="N52" s="1283" t="str">
        <f t="shared" si="61"/>
        <v xml:space="preserve">Указывается общая сумма чистой прибыли, полученной от регулируемого вида деятельности.</v>
      </c>
      <c r="O52" s="1298" t="s">
        <v>88</v>
      </c>
      <c r="P52" s="1298" t="s">
        <v>87</v>
      </c>
      <c r="Q52" s="1298" t="s">
        <v>87</v>
      </c>
      <c r="R52" s="1298" t="s">
        <v>87</v>
      </c>
      <c r="S52" s="1298"/>
      <c r="T52" s="1277" t="s">
        <v>2031</v>
      </c>
      <c r="U52" s="1277" t="s">
        <v>2032</v>
      </c>
      <c r="V52" s="1277" t="s">
        <v>2033</v>
      </c>
      <c r="W52" s="1277" t="s">
        <v>2034</v>
      </c>
      <c r="X52" s="1277"/>
      <c r="Y52" s="1284"/>
      <c r="Z52" s="1262" t="s">
        <v>645</v>
      </c>
      <c r="AA52" s="1269" t="s">
        <v>645</v>
      </c>
      <c r="AB52" s="1269" t="s">
        <v>645</v>
      </c>
      <c r="AC52" s="1269" t="s">
        <v>645</v>
      </c>
      <c r="AD52" s="1262"/>
    </row>
    <row r="53" ht="36" customHeight="1">
      <c r="A53" s="1279"/>
      <c r="B53" s="1285">
        <v>36</v>
      </c>
      <c r="C53" s="1277">
        <v>1</v>
      </c>
      <c r="D53" s="1295"/>
      <c r="E53" s="1277"/>
      <c r="F53" s="1277"/>
      <c r="G53" s="1277"/>
      <c r="H53" s="1300"/>
      <c r="I53" s="1297" t="str">
        <f t="shared" si="56"/>
        <v>4.1</v>
      </c>
      <c r="J53" s="1297" t="str">
        <f t="shared" si="57"/>
        <v xml:space="preserve">Размер расходования чистой прибыли на финансирование мероприятий, предусмотренных инвестиционной программой регулируемой организации</v>
      </c>
      <c r="K53" s="1297">
        <f t="shared" si="58"/>
        <v>0</v>
      </c>
      <c r="L53" s="1283" t="str">
        <f t="shared" si="59"/>
        <v>4.1</v>
      </c>
      <c r="M53" s="1283" t="str">
        <f t="shared" si="60"/>
        <v xml:space="preserve">Размер расходования чистой прибыли на финансирование мероприятий, предусмотренных инвестиционной программой регулируемой организации</v>
      </c>
      <c r="N53" s="1283" t="str">
        <f t="shared" si="61"/>
        <v/>
      </c>
      <c r="O53" s="1298" t="s">
        <v>649</v>
      </c>
      <c r="P53" s="1298" t="s">
        <v>314</v>
      </c>
      <c r="Q53" s="1298" t="s">
        <v>314</v>
      </c>
      <c r="R53" s="1298" t="s">
        <v>314</v>
      </c>
      <c r="S53" s="1298"/>
      <c r="T53" s="1277" t="s">
        <v>2035</v>
      </c>
      <c r="U53" s="1277" t="s">
        <v>2035</v>
      </c>
      <c r="V53" s="1277" t="s">
        <v>2035</v>
      </c>
      <c r="W53" s="1277" t="s">
        <v>2035</v>
      </c>
      <c r="X53" s="1277"/>
      <c r="Y53" s="1284"/>
      <c r="Z53" s="1262"/>
      <c r="AA53" s="1269"/>
      <c r="AB53" s="1262"/>
      <c r="AC53" s="1262"/>
      <c r="AD53" s="1262"/>
    </row>
    <row r="54" ht="18" customHeight="1">
      <c r="A54" s="1279"/>
      <c r="B54" s="1285">
        <v>37</v>
      </c>
      <c r="C54" s="1277" t="s">
        <v>1928</v>
      </c>
      <c r="D54" s="1295" t="s">
        <v>1928</v>
      </c>
      <c r="E54" s="1277" t="s">
        <v>1928</v>
      </c>
      <c r="F54" s="1277" t="s">
        <v>1928</v>
      </c>
      <c r="G54" s="1277"/>
      <c r="H54" s="1300"/>
      <c r="I54" s="1297" t="str">
        <f t="shared" si="56"/>
        <v>5</v>
      </c>
      <c r="J54" s="1297" t="str">
        <f t="shared" si="57"/>
        <v xml:space="preserve">Изменение стоимости основных фондов, в том числе:</v>
      </c>
      <c r="K54" s="1297" t="str">
        <f t="shared" si="58"/>
        <v xml:space="preserve">Указывается общее изменение стоимости основных фондов.</v>
      </c>
      <c r="L54" s="1283" t="str">
        <f t="shared" si="59"/>
        <v>5</v>
      </c>
      <c r="M54" s="1283" t="str">
        <f t="shared" si="60"/>
        <v xml:space="preserve">Изменение стоимости основных фондов, в том числе:</v>
      </c>
      <c r="N54" s="1283" t="str">
        <f t="shared" si="61"/>
        <v xml:space="preserve">Указывается общее изменение стоимости основных фондов.</v>
      </c>
      <c r="O54" s="1298" t="s">
        <v>112</v>
      </c>
      <c r="P54" s="1298" t="s">
        <v>88</v>
      </c>
      <c r="Q54" s="1298" t="s">
        <v>88</v>
      </c>
      <c r="R54" s="1298" t="s">
        <v>88</v>
      </c>
      <c r="S54" s="1298"/>
      <c r="T54" s="1277" t="s">
        <v>647</v>
      </c>
      <c r="U54" s="1277" t="s">
        <v>647</v>
      </c>
      <c r="V54" s="1277" t="s">
        <v>647</v>
      </c>
      <c r="W54" s="1277" t="s">
        <v>647</v>
      </c>
      <c r="X54" s="1277"/>
      <c r="Y54" s="1284"/>
      <c r="Z54" s="1262" t="s">
        <v>648</v>
      </c>
      <c r="AA54" s="1262" t="s">
        <v>648</v>
      </c>
      <c r="AB54" s="1262" t="s">
        <v>648</v>
      </c>
      <c r="AC54" s="1262" t="s">
        <v>648</v>
      </c>
      <c r="AD54" s="1262"/>
    </row>
    <row r="55" ht="36" customHeight="1">
      <c r="A55" s="1279"/>
      <c r="B55" s="1285">
        <v>38</v>
      </c>
      <c r="C55" s="1277">
        <v>1</v>
      </c>
      <c r="D55" s="1295"/>
      <c r="E55" s="1277"/>
      <c r="F55" s="1277"/>
      <c r="G55" s="1277"/>
      <c r="H55" s="1300"/>
      <c r="I55" s="1297" t="str">
        <f t="shared" si="56"/>
        <v>5.1</v>
      </c>
      <c r="J55" s="1297" t="str">
        <f t="shared" si="57"/>
        <v xml:space="preserve">Изменение стоимости основных фондов за счет:</v>
      </c>
      <c r="K55" s="1297" t="str">
        <f t="shared" si="58"/>
        <v xml:space="preserve">Указываются общее изменение стоимости основных фондов за счет их ввода в эксплуатацию и вывода из эксплуатации.</v>
      </c>
      <c r="L55" s="1283" t="str">
        <f t="shared" si="59"/>
        <v>5.1</v>
      </c>
      <c r="M55" s="1283" t="str">
        <f t="shared" si="60"/>
        <v xml:space="preserve">Изменение стоимости основных фондов за счет:</v>
      </c>
      <c r="N55" s="1283" t="str">
        <f t="shared" si="61"/>
        <v xml:space="preserve">Указываются общее изменение стоимости основных фондов за счет их ввода в эксплуатацию и вывода из эксплуатации.</v>
      </c>
      <c r="O55" s="1298" t="s">
        <v>303</v>
      </c>
      <c r="P55" s="1298" t="s">
        <v>649</v>
      </c>
      <c r="Q55" s="1298" t="s">
        <v>649</v>
      </c>
      <c r="R55" s="1298" t="s">
        <v>649</v>
      </c>
      <c r="S55" s="1298"/>
      <c r="T55" s="1277" t="s">
        <v>2036</v>
      </c>
      <c r="U55" s="1277" t="s">
        <v>2037</v>
      </c>
      <c r="V55" s="1277" t="s">
        <v>2037</v>
      </c>
      <c r="W55" s="1277" t="s">
        <v>2037</v>
      </c>
      <c r="X55" s="1277"/>
      <c r="Y55" s="1284"/>
      <c r="Z55" s="1262" t="s">
        <v>2038</v>
      </c>
      <c r="AA55" s="1262" t="s">
        <v>2038</v>
      </c>
      <c r="AB55" s="1262" t="s">
        <v>2038</v>
      </c>
      <c r="AC55" s="1262" t="s">
        <v>2038</v>
      </c>
      <c r="AD55" s="1262"/>
    </row>
    <row r="56" ht="27" customHeight="1">
      <c r="A56" s="1279"/>
      <c r="B56" s="1285">
        <v>39</v>
      </c>
      <c r="C56" s="1277" t="s">
        <v>919</v>
      </c>
      <c r="D56" s="1295"/>
      <c r="E56" s="1277"/>
      <c r="F56" s="1277"/>
      <c r="G56" s="1277"/>
      <c r="H56" s="1300"/>
      <c r="I56" s="1297" t="str">
        <f t="shared" si="56"/>
        <v>5.1.1</v>
      </c>
      <c r="J56" s="1297" t="str">
        <f t="shared" si="57"/>
        <v xml:space="preserve">Изменения стоимости основных фондов за счет их ввода в эксплуатацию</v>
      </c>
      <c r="K56" s="1297" t="str">
        <f t="shared" si="58"/>
        <v xml:space="preserve">Указываются изменение стоимости основных фондов за счет их ввода в эксплуатацию.</v>
      </c>
      <c r="L56" s="1283" t="str">
        <f t="shared" si="59"/>
        <v>5.1.1</v>
      </c>
      <c r="M56" s="1283" t="str">
        <f t="shared" si="60"/>
        <v xml:space="preserve">Изменения стоимости основных фондов за счет их ввода в эксплуатацию</v>
      </c>
      <c r="N56" s="1283" t="str">
        <f t="shared" si="61"/>
        <v xml:space="preserve">Указываются изменение стоимости основных фондов за счет их ввода в эксплуатацию.</v>
      </c>
      <c r="O56" s="1298" t="s">
        <v>1038</v>
      </c>
      <c r="P56" s="1298" t="s">
        <v>652</v>
      </c>
      <c r="Q56" s="1298" t="s">
        <v>652</v>
      </c>
      <c r="R56" s="1298" t="s">
        <v>652</v>
      </c>
      <c r="S56" s="1298"/>
      <c r="T56" s="1277" t="s">
        <v>2039</v>
      </c>
      <c r="U56" s="1277" t="s">
        <v>2040</v>
      </c>
      <c r="V56" s="1277" t="s">
        <v>2040</v>
      </c>
      <c r="W56" s="1277" t="s">
        <v>2040</v>
      </c>
      <c r="X56" s="1277"/>
      <c r="Y56" s="1284"/>
      <c r="Z56" s="1262" t="s">
        <v>654</v>
      </c>
      <c r="AA56" s="1262" t="s">
        <v>654</v>
      </c>
      <c r="AB56" s="1262" t="s">
        <v>654</v>
      </c>
      <c r="AC56" s="1262" t="s">
        <v>654</v>
      </c>
      <c r="AD56" s="1262"/>
    </row>
    <row r="57" ht="27" customHeight="1">
      <c r="A57" s="1279"/>
      <c r="B57" s="1285">
        <v>40</v>
      </c>
      <c r="C57" s="1277" t="s">
        <v>921</v>
      </c>
      <c r="D57" s="1295"/>
      <c r="E57" s="1277"/>
      <c r="F57" s="1277"/>
      <c r="G57" s="1277"/>
      <c r="H57" s="1300"/>
      <c r="I57" s="1297" t="str">
        <f t="shared" si="56"/>
        <v>5.1.2</v>
      </c>
      <c r="J57" s="1297" t="str">
        <f t="shared" si="57"/>
        <v xml:space="preserve">Изменения стоимости основных фондов за счет их вывода в эксплуатацию</v>
      </c>
      <c r="K57" s="1297" t="str">
        <f t="shared" si="58"/>
        <v xml:space="preserve">Указываются изменение стоимости основных фондов за счет их вывода из эксплуатации.</v>
      </c>
      <c r="L57" s="1283" t="str">
        <f t="shared" si="59"/>
        <v>5.1.2</v>
      </c>
      <c r="M57" s="1283" t="str">
        <f t="shared" si="60"/>
        <v xml:space="preserve">Изменения стоимости основных фондов за счет их вывода в эксплуатацию</v>
      </c>
      <c r="N57" s="1283" t="str">
        <f t="shared" si="61"/>
        <v xml:space="preserve">Указываются изменение стоимости основных фондов за счет их вывода из эксплуатации.</v>
      </c>
      <c r="O57" s="1298" t="s">
        <v>2041</v>
      </c>
      <c r="P57" s="1298" t="s">
        <v>655</v>
      </c>
      <c r="Q57" s="1298" t="s">
        <v>655</v>
      </c>
      <c r="R57" s="1298" t="s">
        <v>655</v>
      </c>
      <c r="S57" s="1298"/>
      <c r="T57" s="1277" t="s">
        <v>2042</v>
      </c>
      <c r="U57" s="1277" t="s">
        <v>2043</v>
      </c>
      <c r="V57" s="1277" t="s">
        <v>2043</v>
      </c>
      <c r="W57" s="1277" t="s">
        <v>2043</v>
      </c>
      <c r="X57" s="1277"/>
      <c r="Y57" s="1284"/>
      <c r="Z57" s="1262" t="s">
        <v>657</v>
      </c>
      <c r="AA57" s="1262" t="s">
        <v>657</v>
      </c>
      <c r="AB57" s="1262" t="s">
        <v>657</v>
      </c>
      <c r="AC57" s="1262" t="s">
        <v>657</v>
      </c>
      <c r="AD57" s="1262"/>
    </row>
    <row r="58" ht="18" customHeight="1">
      <c r="A58" s="1279"/>
      <c r="B58" s="1285">
        <v>41</v>
      </c>
      <c r="C58" s="1277">
        <v>2</v>
      </c>
      <c r="D58" s="1295"/>
      <c r="E58" s="1277"/>
      <c r="F58" s="1277"/>
      <c r="G58" s="1277"/>
      <c r="H58" s="1300"/>
      <c r="I58" s="1297" t="str">
        <f t="shared" si="56"/>
        <v>5.2</v>
      </c>
      <c r="J58" s="1297" t="str">
        <f t="shared" si="57"/>
        <v xml:space="preserve">Изменение стоимости основных фондов за счет их переоценки</v>
      </c>
      <c r="K58" s="1297">
        <f t="shared" si="58"/>
        <v>0</v>
      </c>
      <c r="L58" s="1283" t="str">
        <f t="shared" si="59"/>
        <v>5.2</v>
      </c>
      <c r="M58" s="1283" t="str">
        <f t="shared" si="60"/>
        <v xml:space="preserve">Изменение стоимости основных фондов за счет их переоценки</v>
      </c>
      <c r="N58" s="1283" t="str">
        <f t="shared" si="61"/>
        <v/>
      </c>
      <c r="O58" s="1298" t="s">
        <v>305</v>
      </c>
      <c r="P58" s="1298" t="s">
        <v>692</v>
      </c>
      <c r="Q58" s="1298" t="s">
        <v>692</v>
      </c>
      <c r="R58" s="1298" t="s">
        <v>692</v>
      </c>
      <c r="S58" s="1298"/>
      <c r="T58" s="1277" t="s">
        <v>2044</v>
      </c>
      <c r="U58" s="1277" t="s">
        <v>2044</v>
      </c>
      <c r="V58" s="1277" t="s">
        <v>2044</v>
      </c>
      <c r="W58" s="1277" t="s">
        <v>2044</v>
      </c>
      <c r="X58" s="1277"/>
      <c r="Y58" s="1284"/>
      <c r="Z58" s="1262"/>
      <c r="AA58" s="1269"/>
      <c r="AB58" s="1262"/>
      <c r="AC58" s="1262"/>
      <c r="AD58" s="1262"/>
    </row>
    <row r="59" ht="36" customHeight="1">
      <c r="A59" s="1279"/>
      <c r="B59" s="1285">
        <v>42</v>
      </c>
      <c r="C59" s="1277">
        <v>3</v>
      </c>
      <c r="D59" s="1295" t="s">
        <v>2029</v>
      </c>
      <c r="E59" s="1277" t="s">
        <v>2029</v>
      </c>
      <c r="F59" s="1277" t="s">
        <v>2029</v>
      </c>
      <c r="G59" s="1277"/>
      <c r="H59" s="1300"/>
      <c r="I59" s="1297">
        <f t="shared" si="56"/>
        <v>0</v>
      </c>
      <c r="J59" s="1297">
        <f t="shared" si="57"/>
        <v>0</v>
      </c>
      <c r="K59" s="1297">
        <f t="shared" si="58"/>
        <v>0</v>
      </c>
      <c r="L59" s="1283" t="str">
        <f t="shared" si="59"/>
        <v/>
      </c>
      <c r="M59" s="1283" t="str">
        <f t="shared" si="60"/>
        <v/>
      </c>
      <c r="N59" s="1283" t="str">
        <f t="shared" si="61"/>
        <v/>
      </c>
      <c r="O59" s="1298"/>
      <c r="P59" s="1298" t="s">
        <v>112</v>
      </c>
      <c r="Q59" s="1298" t="s">
        <v>112</v>
      </c>
      <c r="R59" s="1298" t="s">
        <v>112</v>
      </c>
      <c r="S59" s="1298"/>
      <c r="T59" s="1277"/>
      <c r="U59" s="1277" t="s">
        <v>2045</v>
      </c>
      <c r="V59" s="1277" t="s">
        <v>2046</v>
      </c>
      <c r="W59" s="1277" t="s">
        <v>2047</v>
      </c>
      <c r="X59" s="1277"/>
      <c r="Y59" s="1284"/>
      <c r="Z59" s="1262"/>
      <c r="AA59" s="1269"/>
      <c r="AB59" s="1262"/>
      <c r="AC59" s="1262"/>
      <c r="AD59" s="1262"/>
    </row>
    <row r="60" ht="81" customHeight="1">
      <c r="A60" s="1279"/>
      <c r="B60" s="1285">
        <v>43</v>
      </c>
      <c r="C60" s="1277" t="s">
        <v>2048</v>
      </c>
      <c r="D60" s="1295" t="s">
        <v>2048</v>
      </c>
      <c r="E60" s="1277" t="s">
        <v>2048</v>
      </c>
      <c r="F60" s="1277" t="s">
        <v>2048</v>
      </c>
      <c r="G60" s="1277"/>
      <c r="H60" s="1300"/>
      <c r="I60" s="1297" t="str">
        <f t="shared" si="56"/>
        <v>6</v>
      </c>
      <c r="J60" s="1297" t="str">
        <f t="shared" si="57"/>
        <v xml:space="preserve">Годовая бухгалтерская (финансовая) отчетность, включая бухгалтерский баланс и приложения к нему</v>
      </c>
      <c r="K60" s="1297" t="str">
        <f t="shared" si="58"/>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83" t="str">
        <f t="shared" si="59"/>
        <v>6</v>
      </c>
      <c r="M60" s="1283" t="str">
        <f t="shared" si="60"/>
        <v xml:space="preserve">Годовая бухгалтерская (финансовая) отчетность, включая бухгалтерский баланс и приложения к нему</v>
      </c>
      <c r="N60" s="1283" t="str">
        <f t="shared" si="61"/>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98" t="s">
        <v>89</v>
      </c>
      <c r="P60" s="1298" t="s">
        <v>89</v>
      </c>
      <c r="Q60" s="1298" t="s">
        <v>89</v>
      </c>
      <c r="R60" s="1298" t="s">
        <v>89</v>
      </c>
      <c r="S60" s="1298"/>
      <c r="T60" s="1277" t="s">
        <v>661</v>
      </c>
      <c r="U60" s="1277" t="s">
        <v>661</v>
      </c>
      <c r="V60" s="1277" t="s">
        <v>661</v>
      </c>
      <c r="W60" s="1277" t="s">
        <v>661</v>
      </c>
      <c r="X60" s="1277"/>
      <c r="Y60" s="1284"/>
      <c r="Z60" s="1262" t="s">
        <v>2049</v>
      </c>
      <c r="AA60" s="1269" t="s">
        <v>2050</v>
      </c>
      <c r="AB60" s="1262" t="s">
        <v>2051</v>
      </c>
      <c r="AC60" s="1262" t="s">
        <v>2050</v>
      </c>
      <c r="AD60" s="1262"/>
    </row>
    <row r="61" ht="9" customHeight="1">
      <c r="A61" s="1279"/>
      <c r="B61" s="1285">
        <v>44</v>
      </c>
      <c r="C61" s="1277"/>
      <c r="D61" s="1295" t="s">
        <v>2052</v>
      </c>
      <c r="E61" s="1277"/>
      <c r="F61" s="1277"/>
      <c r="G61" s="1277"/>
      <c r="H61" s="1300"/>
      <c r="I61" s="1297">
        <f t="shared" si="56"/>
        <v>0</v>
      </c>
      <c r="J61" s="1297">
        <f t="shared" si="57"/>
        <v>0</v>
      </c>
      <c r="K61" s="1297">
        <f t="shared" si="58"/>
        <v>0</v>
      </c>
      <c r="L61" s="1283" t="str">
        <f t="shared" si="59"/>
        <v/>
      </c>
      <c r="M61" s="1283" t="str">
        <f t="shared" si="60"/>
        <v/>
      </c>
      <c r="N61" s="1283" t="str">
        <f t="shared" si="61"/>
        <v/>
      </c>
      <c r="O61" s="1298"/>
      <c r="P61" s="1298" t="s">
        <v>90</v>
      </c>
      <c r="Q61" s="1298"/>
      <c r="R61" s="1298"/>
      <c r="S61" s="1298"/>
      <c r="T61" s="1277"/>
      <c r="U61" s="1277" t="s">
        <v>2053</v>
      </c>
      <c r="V61" s="1277"/>
      <c r="W61" s="1277"/>
      <c r="X61" s="1277"/>
      <c r="Y61" s="1284"/>
      <c r="Z61" s="1262"/>
      <c r="AA61" s="1269"/>
      <c r="AB61" s="1262"/>
      <c r="AC61" s="1262"/>
      <c r="AD61" s="1262"/>
    </row>
    <row r="62" ht="9" customHeight="1">
      <c r="A62" s="1279"/>
      <c r="B62" s="1285">
        <v>45</v>
      </c>
      <c r="C62" s="1277"/>
      <c r="D62" s="1295" t="s">
        <v>2054</v>
      </c>
      <c r="E62" s="1277"/>
      <c r="F62" s="1277"/>
      <c r="G62" s="1277"/>
      <c r="H62" s="1300"/>
      <c r="I62" s="1297">
        <f t="shared" si="56"/>
        <v>0</v>
      </c>
      <c r="J62" s="1297">
        <f t="shared" si="57"/>
        <v>0</v>
      </c>
      <c r="K62" s="1297">
        <f t="shared" si="58"/>
        <v>0</v>
      </c>
      <c r="L62" s="1283" t="str">
        <f t="shared" si="59"/>
        <v/>
      </c>
      <c r="M62" s="1283" t="str">
        <f t="shared" si="60"/>
        <v/>
      </c>
      <c r="N62" s="1283" t="str">
        <f t="shared" si="61"/>
        <v/>
      </c>
      <c r="O62" s="1298"/>
      <c r="P62" s="1298" t="s">
        <v>113</v>
      </c>
      <c r="Q62" s="1298"/>
      <c r="R62" s="1298"/>
      <c r="S62" s="1298"/>
      <c r="T62" s="1277"/>
      <c r="U62" s="1277" t="s">
        <v>2055</v>
      </c>
      <c r="V62" s="1277"/>
      <c r="W62" s="1277"/>
      <c r="X62" s="1277"/>
      <c r="Y62" s="1284"/>
      <c r="Z62" s="1262"/>
      <c r="AA62" s="1269"/>
      <c r="AB62" s="1262"/>
      <c r="AC62" s="1262"/>
      <c r="AD62" s="1262"/>
    </row>
    <row r="63" ht="18" customHeight="1">
      <c r="A63" s="1279"/>
      <c r="B63" s="1285">
        <v>46</v>
      </c>
      <c r="C63" s="1277"/>
      <c r="D63" s="1295" t="s">
        <v>2056</v>
      </c>
      <c r="E63" s="1277"/>
      <c r="F63" s="1277"/>
      <c r="G63" s="1277"/>
      <c r="H63" s="1300"/>
      <c r="I63" s="1297">
        <f t="shared" si="56"/>
        <v>0</v>
      </c>
      <c r="J63" s="1297">
        <f t="shared" si="57"/>
        <v>0</v>
      </c>
      <c r="K63" s="1297">
        <f t="shared" si="58"/>
        <v>0</v>
      </c>
      <c r="L63" s="1283" t="str">
        <f t="shared" si="59"/>
        <v/>
      </c>
      <c r="M63" s="1283" t="str">
        <f t="shared" si="60"/>
        <v/>
      </c>
      <c r="N63" s="1283" t="str">
        <f t="shared" si="61"/>
        <v/>
      </c>
      <c r="O63" s="1298"/>
      <c r="P63" s="1298" t="s">
        <v>150</v>
      </c>
      <c r="Q63" s="1298"/>
      <c r="R63" s="1298"/>
      <c r="S63" s="1298"/>
      <c r="T63" s="1277"/>
      <c r="U63" s="1277" t="s">
        <v>2057</v>
      </c>
      <c r="V63" s="1277"/>
      <c r="W63" s="1277"/>
      <c r="X63" s="1277"/>
      <c r="Y63" s="1284"/>
      <c r="Z63" s="1262"/>
      <c r="AA63" s="1269"/>
      <c r="AB63" s="1262"/>
      <c r="AC63" s="1262"/>
      <c r="AD63" s="1262"/>
    </row>
    <row r="64" ht="18" customHeight="1">
      <c r="A64" s="1279"/>
      <c r="B64" s="1285">
        <v>47</v>
      </c>
      <c r="C64" s="1277"/>
      <c r="D64" s="1295" t="s">
        <v>2058</v>
      </c>
      <c r="E64" s="1277"/>
      <c r="F64" s="1277"/>
      <c r="G64" s="1277"/>
      <c r="H64" s="1300"/>
      <c r="I64" s="1297">
        <f t="shared" si="56"/>
        <v>0</v>
      </c>
      <c r="J64" s="1297">
        <f t="shared" si="57"/>
        <v>0</v>
      </c>
      <c r="K64" s="1297">
        <f t="shared" si="58"/>
        <v>0</v>
      </c>
      <c r="L64" s="1283" t="str">
        <f t="shared" si="59"/>
        <v/>
      </c>
      <c r="M64" s="1283" t="str">
        <f t="shared" si="60"/>
        <v/>
      </c>
      <c r="N64" s="1283" t="str">
        <f t="shared" si="61"/>
        <v/>
      </c>
      <c r="O64" s="1298"/>
      <c r="P64" s="1298" t="s">
        <v>151</v>
      </c>
      <c r="Q64" s="1298"/>
      <c r="R64" s="1298"/>
      <c r="S64" s="1298"/>
      <c r="T64" s="1277"/>
      <c r="U64" s="1277" t="s">
        <v>2059</v>
      </c>
      <c r="V64" s="1277"/>
      <c r="W64" s="1277"/>
      <c r="X64" s="1277"/>
      <c r="Y64" s="1284"/>
      <c r="Z64" s="1262"/>
      <c r="AA64" s="1269" t="s">
        <v>2060</v>
      </c>
      <c r="AB64" s="1262"/>
      <c r="AC64" s="1262"/>
      <c r="AD64" s="1262"/>
    </row>
    <row r="65" ht="18" customHeight="1">
      <c r="A65" s="1279"/>
      <c r="B65" s="1285">
        <v>48</v>
      </c>
      <c r="C65" s="1277"/>
      <c r="D65" s="1295"/>
      <c r="E65" s="1277"/>
      <c r="F65" s="1277"/>
      <c r="G65" s="1277"/>
      <c r="H65" s="1300"/>
      <c r="I65" s="1297">
        <f t="shared" si="56"/>
        <v>0</v>
      </c>
      <c r="J65" s="1297">
        <f t="shared" si="57"/>
        <v>0</v>
      </c>
      <c r="K65" s="1297">
        <f t="shared" si="58"/>
        <v>0</v>
      </c>
      <c r="L65" s="1283" t="str">
        <f t="shared" si="59"/>
        <v/>
      </c>
      <c r="M65" s="1283" t="str">
        <f t="shared" si="60"/>
        <v/>
      </c>
      <c r="N65" s="1283" t="str">
        <f t="shared" si="61"/>
        <v/>
      </c>
      <c r="O65" s="1298"/>
      <c r="P65" s="1298" t="s">
        <v>1970</v>
      </c>
      <c r="Q65" s="1298"/>
      <c r="R65" s="1298"/>
      <c r="S65" s="1298"/>
      <c r="T65" s="1277"/>
      <c r="U65" s="1277" t="s">
        <v>2061</v>
      </c>
      <c r="V65" s="1277"/>
      <c r="W65" s="1277"/>
      <c r="X65" s="1277"/>
      <c r="Y65" s="1284"/>
      <c r="Z65" s="1262"/>
      <c r="AA65" s="1269"/>
      <c r="AB65" s="1262"/>
      <c r="AC65" s="1262"/>
      <c r="AD65" s="1262"/>
    </row>
    <row r="66" ht="18" customHeight="1">
      <c r="A66" s="1279"/>
      <c r="B66" s="1285">
        <v>49</v>
      </c>
      <c r="C66" s="1277"/>
      <c r="D66" s="1295"/>
      <c r="E66" s="1277"/>
      <c r="F66" s="1277"/>
      <c r="G66" s="1277"/>
      <c r="H66" s="1300"/>
      <c r="I66" s="1297">
        <f t="shared" si="56"/>
        <v>0</v>
      </c>
      <c r="J66" s="1297">
        <f t="shared" si="57"/>
        <v>0</v>
      </c>
      <c r="K66" s="1297">
        <f t="shared" si="58"/>
        <v>0</v>
      </c>
      <c r="L66" s="1283" t="str">
        <f t="shared" si="59"/>
        <v/>
      </c>
      <c r="M66" s="1283" t="str">
        <f t="shared" si="60"/>
        <v/>
      </c>
      <c r="N66" s="1283" t="str">
        <f t="shared" si="61"/>
        <v/>
      </c>
      <c r="O66" s="1298"/>
      <c r="P66" s="1298" t="s">
        <v>1974</v>
      </c>
      <c r="Q66" s="1298"/>
      <c r="R66" s="1298"/>
      <c r="S66" s="1298"/>
      <c r="T66" s="1277"/>
      <c r="U66" s="1277" t="s">
        <v>2062</v>
      </c>
      <c r="V66" s="1277"/>
      <c r="W66" s="1277"/>
      <c r="X66" s="1277"/>
      <c r="Y66" s="1284"/>
      <c r="Z66" s="1262"/>
      <c r="AA66" s="1269"/>
      <c r="AB66" s="1262"/>
      <c r="AC66" s="1262"/>
      <c r="AD66" s="1262"/>
    </row>
    <row r="67" ht="27" customHeight="1">
      <c r="A67" s="1279"/>
      <c r="B67" s="1285">
        <v>50</v>
      </c>
      <c r="C67" s="1277"/>
      <c r="D67" s="1295"/>
      <c r="E67" s="1277"/>
      <c r="F67" s="1277"/>
      <c r="G67" s="1277"/>
      <c r="H67" s="1300"/>
      <c r="I67" s="1297">
        <f t="shared" si="56"/>
        <v>0</v>
      </c>
      <c r="J67" s="1297">
        <f t="shared" si="57"/>
        <v>0</v>
      </c>
      <c r="K67" s="1297">
        <f t="shared" si="58"/>
        <v>0</v>
      </c>
      <c r="L67" s="1283" t="str">
        <f t="shared" si="59"/>
        <v/>
      </c>
      <c r="M67" s="1283" t="str">
        <f t="shared" si="60"/>
        <v/>
      </c>
      <c r="N67" s="1283" t="str">
        <f t="shared" si="61"/>
        <v/>
      </c>
      <c r="O67" s="1298"/>
      <c r="P67" s="1298" t="s">
        <v>2063</v>
      </c>
      <c r="Q67" s="1298"/>
      <c r="R67" s="1298"/>
      <c r="S67" s="1298"/>
      <c r="T67" s="1277"/>
      <c r="U67" s="1277" t="s">
        <v>2064</v>
      </c>
      <c r="V67" s="1277"/>
      <c r="W67" s="1277"/>
      <c r="X67" s="1277"/>
      <c r="Y67" s="1284"/>
      <c r="Z67" s="1262"/>
      <c r="AA67" s="1269"/>
      <c r="AB67" s="1262"/>
      <c r="AC67" s="1262"/>
      <c r="AD67" s="1262"/>
    </row>
    <row r="68" ht="27" customHeight="1">
      <c r="A68" s="1279"/>
      <c r="B68" s="1285">
        <v>51</v>
      </c>
      <c r="C68" s="1277"/>
      <c r="D68" s="1295"/>
      <c r="E68" s="1277"/>
      <c r="F68" s="1277"/>
      <c r="G68" s="1277"/>
      <c r="H68" s="1300"/>
      <c r="I68" s="1297">
        <f t="shared" si="56"/>
        <v>0</v>
      </c>
      <c r="J68" s="1297">
        <f t="shared" si="57"/>
        <v>0</v>
      </c>
      <c r="K68" s="1297">
        <f t="shared" si="58"/>
        <v>0</v>
      </c>
      <c r="L68" s="1283" t="str">
        <f t="shared" si="59"/>
        <v/>
      </c>
      <c r="M68" s="1283" t="str">
        <f t="shared" si="60"/>
        <v/>
      </c>
      <c r="N68" s="1283" t="str">
        <f t="shared" si="61"/>
        <v/>
      </c>
      <c r="O68" s="1298"/>
      <c r="P68" s="1298" t="s">
        <v>2065</v>
      </c>
      <c r="Q68" s="1298"/>
      <c r="R68" s="1298"/>
      <c r="S68" s="1298"/>
      <c r="T68" s="1277"/>
      <c r="U68" s="1277" t="s">
        <v>2066</v>
      </c>
      <c r="V68" s="1277"/>
      <c r="W68" s="1277"/>
      <c r="X68" s="1277"/>
      <c r="Y68" s="1284"/>
      <c r="Z68" s="1262"/>
      <c r="AA68" s="1269"/>
      <c r="AB68" s="1262"/>
      <c r="AC68" s="1262"/>
      <c r="AD68" s="1262"/>
    </row>
    <row r="69" ht="9" customHeight="1">
      <c r="A69" s="1279"/>
      <c r="B69" s="1285">
        <v>52</v>
      </c>
      <c r="C69" s="1277"/>
      <c r="D69" s="1295" t="s">
        <v>2067</v>
      </c>
      <c r="E69" s="1277"/>
      <c r="F69" s="1277"/>
      <c r="G69" s="1277"/>
      <c r="H69" s="1300"/>
      <c r="I69" s="1297">
        <f t="shared" si="56"/>
        <v>0</v>
      </c>
      <c r="J69" s="1297">
        <f t="shared" si="57"/>
        <v>0</v>
      </c>
      <c r="K69" s="1297">
        <f t="shared" si="58"/>
        <v>0</v>
      </c>
      <c r="L69" s="1283" t="str">
        <f t="shared" si="59"/>
        <v/>
      </c>
      <c r="M69" s="1283" t="str">
        <f t="shared" si="60"/>
        <v/>
      </c>
      <c r="N69" s="1283" t="str">
        <f t="shared" si="61"/>
        <v/>
      </c>
      <c r="O69" s="1298"/>
      <c r="P69" s="1298" t="s">
        <v>152</v>
      </c>
      <c r="Q69" s="1298"/>
      <c r="R69" s="1298"/>
      <c r="S69" s="1298"/>
      <c r="T69" s="1277"/>
      <c r="U69" s="1277" t="s">
        <v>2068</v>
      </c>
      <c r="V69" s="1277"/>
      <c r="W69" s="1277"/>
      <c r="X69" s="1277"/>
      <c r="Y69" s="1284"/>
      <c r="Z69" s="1262"/>
      <c r="AA69" s="1269"/>
      <c r="AB69" s="1262"/>
      <c r="AC69" s="1262"/>
      <c r="AD69" s="1262"/>
    </row>
    <row r="70" ht="27" customHeight="1">
      <c r="A70" s="1279"/>
      <c r="B70" s="1285">
        <v>53</v>
      </c>
      <c r="C70" s="1277"/>
      <c r="D70" s="1295"/>
      <c r="E70" s="1277" t="s">
        <v>2052</v>
      </c>
      <c r="F70" s="1277"/>
      <c r="G70" s="1277"/>
      <c r="H70" s="1300"/>
      <c r="I70" s="1297">
        <f t="shared" si="56"/>
        <v>0</v>
      </c>
      <c r="J70" s="1297">
        <f t="shared" si="57"/>
        <v>0</v>
      </c>
      <c r="K70" s="1297">
        <f t="shared" si="58"/>
        <v>0</v>
      </c>
      <c r="L70" s="1283" t="str">
        <f t="shared" si="59"/>
        <v/>
      </c>
      <c r="M70" s="1283" t="str">
        <f t="shared" si="60"/>
        <v/>
      </c>
      <c r="N70" s="1283" t="str">
        <f t="shared" si="61"/>
        <v/>
      </c>
      <c r="O70" s="1298"/>
      <c r="P70" s="1298"/>
      <c r="Q70" s="1298" t="s">
        <v>90</v>
      </c>
      <c r="R70" s="1298"/>
      <c r="S70" s="1298"/>
      <c r="T70" s="1277"/>
      <c r="U70" s="1277"/>
      <c r="V70" s="1277" t="s">
        <v>2069</v>
      </c>
      <c r="W70" s="1277"/>
      <c r="X70" s="1277"/>
      <c r="Y70" s="1284"/>
      <c r="Z70" s="1262"/>
      <c r="AA70" s="1269"/>
      <c r="AB70" s="1262"/>
      <c r="AC70" s="1262"/>
      <c r="AD70" s="1262"/>
    </row>
    <row r="71" ht="36" customHeight="1">
      <c r="A71" s="1279"/>
      <c r="B71" s="1285">
        <v>54</v>
      </c>
      <c r="C71" s="1277"/>
      <c r="D71" s="1295"/>
      <c r="E71" s="1277" t="s">
        <v>2054</v>
      </c>
      <c r="F71" s="1277"/>
      <c r="G71" s="1277"/>
      <c r="H71" s="1300"/>
      <c r="I71" s="1297">
        <f t="shared" si="56"/>
        <v>0</v>
      </c>
      <c r="J71" s="1297">
        <f t="shared" si="57"/>
        <v>0</v>
      </c>
      <c r="K71" s="1297">
        <f t="shared" si="58"/>
        <v>0</v>
      </c>
      <c r="L71" s="1283" t="str">
        <f t="shared" si="59"/>
        <v/>
      </c>
      <c r="M71" s="1283" t="str">
        <f t="shared" si="60"/>
        <v/>
      </c>
      <c r="N71" s="1283" t="str">
        <f t="shared" si="61"/>
        <v/>
      </c>
      <c r="O71" s="1298"/>
      <c r="P71" s="1298"/>
      <c r="Q71" s="1298" t="s">
        <v>113</v>
      </c>
      <c r="R71" s="1298"/>
      <c r="S71" s="1298"/>
      <c r="T71" s="1277"/>
      <c r="U71" s="1277"/>
      <c r="V71" s="1277" t="s">
        <v>2070</v>
      </c>
      <c r="W71" s="1277"/>
      <c r="X71" s="1277"/>
      <c r="Y71" s="1284"/>
      <c r="Z71" s="1262"/>
      <c r="AA71" s="1269"/>
      <c r="AB71" s="1262"/>
      <c r="AC71" s="1262"/>
      <c r="AD71" s="1262"/>
    </row>
    <row r="72" ht="27" customHeight="1">
      <c r="A72" s="1279"/>
      <c r="B72" s="1285">
        <v>55</v>
      </c>
      <c r="C72" s="1277"/>
      <c r="D72" s="1295"/>
      <c r="E72" s="1277" t="s">
        <v>2056</v>
      </c>
      <c r="F72" s="1277"/>
      <c r="G72" s="1277"/>
      <c r="H72" s="1300"/>
      <c r="I72" s="1297">
        <f t="shared" si="56"/>
        <v>0</v>
      </c>
      <c r="J72" s="1297">
        <f t="shared" si="57"/>
        <v>0</v>
      </c>
      <c r="K72" s="1297">
        <f t="shared" si="58"/>
        <v>0</v>
      </c>
      <c r="L72" s="1283" t="str">
        <f t="shared" si="59"/>
        <v/>
      </c>
      <c r="M72" s="1283" t="str">
        <f t="shared" si="60"/>
        <v/>
      </c>
      <c r="N72" s="1283" t="str">
        <f t="shared" si="61"/>
        <v/>
      </c>
      <c r="O72" s="1298"/>
      <c r="P72" s="1298"/>
      <c r="Q72" s="1298" t="s">
        <v>150</v>
      </c>
      <c r="R72" s="1298"/>
      <c r="S72" s="1298"/>
      <c r="T72" s="1277"/>
      <c r="U72" s="1277"/>
      <c r="V72" s="1277" t="s">
        <v>2071</v>
      </c>
      <c r="W72" s="1277"/>
      <c r="X72" s="1277"/>
      <c r="Y72" s="1284"/>
      <c r="Z72" s="1262"/>
      <c r="AA72" s="1269"/>
      <c r="AB72" s="1262"/>
      <c r="AC72" s="1262"/>
      <c r="AD72" s="1262"/>
    </row>
    <row r="73" ht="36" customHeight="1">
      <c r="A73" s="1279"/>
      <c r="B73" s="1285">
        <v>56</v>
      </c>
      <c r="C73" s="1277"/>
      <c r="D73" s="1295"/>
      <c r="E73" s="1277" t="s">
        <v>2058</v>
      </c>
      <c r="F73" s="1277"/>
      <c r="G73" s="1277"/>
      <c r="H73" s="1300"/>
      <c r="I73" s="1297">
        <f t="shared" si="56"/>
        <v>0</v>
      </c>
      <c r="J73" s="1297">
        <f t="shared" si="57"/>
        <v>0</v>
      </c>
      <c r="K73" s="1297">
        <f t="shared" si="58"/>
        <v>0</v>
      </c>
      <c r="L73" s="1283" t="str">
        <f t="shared" si="59"/>
        <v/>
      </c>
      <c r="M73" s="1283" t="str">
        <f t="shared" si="60"/>
        <v/>
      </c>
      <c r="N73" s="1283" t="str">
        <f t="shared" si="61"/>
        <v/>
      </c>
      <c r="O73" s="1298"/>
      <c r="P73" s="1298"/>
      <c r="Q73" s="1298" t="s">
        <v>151</v>
      </c>
      <c r="R73" s="1298"/>
      <c r="S73" s="1298"/>
      <c r="T73" s="1277"/>
      <c r="U73" s="1277"/>
      <c r="V73" s="1277" t="s">
        <v>2072</v>
      </c>
      <c r="W73" s="1277"/>
      <c r="X73" s="1277"/>
      <c r="Y73" s="1284"/>
      <c r="Z73" s="1262"/>
      <c r="AA73" s="1269"/>
      <c r="AB73" s="1262"/>
      <c r="AC73" s="1262"/>
      <c r="AD73" s="1262"/>
    </row>
    <row r="74" ht="18" customHeight="1">
      <c r="A74" s="1279"/>
      <c r="B74" s="1285">
        <v>57</v>
      </c>
      <c r="C74" s="1277"/>
      <c r="D74" s="1295"/>
      <c r="E74" s="1277" t="s">
        <v>2067</v>
      </c>
      <c r="F74" s="1277"/>
      <c r="G74" s="1277"/>
      <c r="H74" s="1300"/>
      <c r="I74" s="1297">
        <f t="shared" si="56"/>
        <v>0</v>
      </c>
      <c r="J74" s="1297">
        <f t="shared" si="57"/>
        <v>0</v>
      </c>
      <c r="K74" s="1297">
        <f t="shared" si="58"/>
        <v>0</v>
      </c>
      <c r="L74" s="1283" t="str">
        <f t="shared" si="59"/>
        <v/>
      </c>
      <c r="M74" s="1283" t="str">
        <f t="shared" si="60"/>
        <v/>
      </c>
      <c r="N74" s="1283" t="str">
        <f t="shared" si="61"/>
        <v/>
      </c>
      <c r="O74" s="1298"/>
      <c r="P74" s="1298"/>
      <c r="Q74" s="1298" t="s">
        <v>152</v>
      </c>
      <c r="R74" s="1298"/>
      <c r="S74" s="1298"/>
      <c r="T74" s="1277"/>
      <c r="U74" s="1277"/>
      <c r="V74" s="1277" t="s">
        <v>2073</v>
      </c>
      <c r="W74" s="1277"/>
      <c r="X74" s="1277"/>
      <c r="Y74" s="1284"/>
      <c r="Z74" s="1262"/>
      <c r="AA74" s="1269"/>
      <c r="AB74" s="1262"/>
      <c r="AC74" s="1262"/>
      <c r="AD74" s="1262"/>
    </row>
    <row r="75" ht="18" customHeight="1">
      <c r="A75" s="1279"/>
      <c r="B75" s="1285">
        <v>58</v>
      </c>
      <c r="C75" s="1277"/>
      <c r="D75" s="1295"/>
      <c r="E75" s="1277"/>
      <c r="F75" s="1277" t="s">
        <v>2052</v>
      </c>
      <c r="G75" s="1277"/>
      <c r="H75" s="1300"/>
      <c r="I75" s="1297">
        <f t="shared" si="56"/>
        <v>0</v>
      </c>
      <c r="J75" s="1297">
        <f t="shared" si="57"/>
        <v>0</v>
      </c>
      <c r="K75" s="1297">
        <f t="shared" si="58"/>
        <v>0</v>
      </c>
      <c r="L75" s="1283" t="str">
        <f t="shared" si="59"/>
        <v/>
      </c>
      <c r="M75" s="1283" t="str">
        <f t="shared" si="60"/>
        <v/>
      </c>
      <c r="N75" s="1283" t="str">
        <f t="shared" si="61"/>
        <v/>
      </c>
      <c r="O75" s="1298"/>
      <c r="P75" s="1298"/>
      <c r="Q75" s="1298"/>
      <c r="R75" s="1298" t="s">
        <v>90</v>
      </c>
      <c r="S75" s="1298"/>
      <c r="T75" s="1277"/>
      <c r="U75" s="1277"/>
      <c r="V75" s="1277"/>
      <c r="W75" s="1277" t="s">
        <v>2074</v>
      </c>
      <c r="X75" s="1277"/>
      <c r="Y75" s="1284"/>
      <c r="Z75" s="1262"/>
      <c r="AA75" s="1269"/>
      <c r="AB75" s="1262"/>
      <c r="AC75" s="1262"/>
      <c r="AD75" s="1262"/>
    </row>
    <row r="76" ht="36" customHeight="1">
      <c r="A76" s="1279"/>
      <c r="B76" s="1285">
        <v>59</v>
      </c>
      <c r="C76" s="1277"/>
      <c r="D76" s="1295"/>
      <c r="E76" s="1277"/>
      <c r="F76" s="1277" t="s">
        <v>2054</v>
      </c>
      <c r="G76" s="1277"/>
      <c r="H76" s="1300"/>
      <c r="I76" s="1297">
        <f t="shared" si="56"/>
        <v>0</v>
      </c>
      <c r="J76" s="1297">
        <f t="shared" si="57"/>
        <v>0</v>
      </c>
      <c r="K76" s="1297">
        <f t="shared" si="58"/>
        <v>0</v>
      </c>
      <c r="L76" s="1283" t="str">
        <f t="shared" si="59"/>
        <v/>
      </c>
      <c r="M76" s="1283" t="str">
        <f t="shared" si="60"/>
        <v/>
      </c>
      <c r="N76" s="1283" t="str">
        <f t="shared" si="61"/>
        <v/>
      </c>
      <c r="O76" s="1298"/>
      <c r="P76" s="1298"/>
      <c r="Q76" s="1298"/>
      <c r="R76" s="1298" t="s">
        <v>113</v>
      </c>
      <c r="S76" s="1298"/>
      <c r="T76" s="1277"/>
      <c r="U76" s="1277"/>
      <c r="V76" s="1277"/>
      <c r="W76" s="1277" t="s">
        <v>2075</v>
      </c>
      <c r="X76" s="1277"/>
      <c r="Y76" s="1284"/>
      <c r="Z76" s="1262"/>
      <c r="AA76" s="1269"/>
      <c r="AB76" s="1262"/>
      <c r="AC76" s="1262"/>
      <c r="AD76" s="1262"/>
    </row>
    <row r="77" ht="18" customHeight="1">
      <c r="A77" s="1279"/>
      <c r="B77" s="1285">
        <v>60</v>
      </c>
      <c r="C77" s="1277"/>
      <c r="D77" s="1295"/>
      <c r="E77" s="1277"/>
      <c r="F77" s="1277" t="s">
        <v>2056</v>
      </c>
      <c r="G77" s="1277"/>
      <c r="H77" s="1300"/>
      <c r="I77" s="1297">
        <f t="shared" si="56"/>
        <v>0</v>
      </c>
      <c r="J77" s="1297">
        <f t="shared" si="57"/>
        <v>0</v>
      </c>
      <c r="K77" s="1297">
        <f t="shared" si="58"/>
        <v>0</v>
      </c>
      <c r="L77" s="1283" t="str">
        <f t="shared" si="59"/>
        <v/>
      </c>
      <c r="M77" s="1283" t="str">
        <f t="shared" si="60"/>
        <v/>
      </c>
      <c r="N77" s="1283" t="str">
        <f t="shared" si="61"/>
        <v/>
      </c>
      <c r="O77" s="1298"/>
      <c r="P77" s="1298"/>
      <c r="Q77" s="1298"/>
      <c r="R77" s="1298" t="s">
        <v>150</v>
      </c>
      <c r="S77" s="1298"/>
      <c r="T77" s="1277"/>
      <c r="U77" s="1277"/>
      <c r="V77" s="1277"/>
      <c r="W77" s="1277" t="s">
        <v>2076</v>
      </c>
      <c r="X77" s="1277"/>
      <c r="Y77" s="1284"/>
      <c r="Z77" s="1262"/>
      <c r="AA77" s="1269"/>
      <c r="AB77" s="1262"/>
      <c r="AC77" s="1262"/>
      <c r="AD77" s="1262"/>
    </row>
    <row r="78" ht="72" customHeight="1">
      <c r="A78" s="1279"/>
      <c r="B78" s="1285">
        <v>61</v>
      </c>
      <c r="C78" s="1277" t="s">
        <v>2052</v>
      </c>
      <c r="D78" s="1295"/>
      <c r="E78" s="1277"/>
      <c r="F78" s="1277"/>
      <c r="G78" s="1277"/>
      <c r="H78" s="1300"/>
      <c r="I78" s="1297" t="str">
        <f t="shared" si="56"/>
        <v>7</v>
      </c>
      <c r="J78" s="1297" t="str">
        <f t="shared" si="57"/>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K78" s="1297" t="str">
        <f t="shared" si="58"/>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83" t="str">
        <f t="shared" si="59"/>
        <v>7</v>
      </c>
      <c r="M78" s="1283" t="str">
        <f t="shared" si="60"/>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N78" s="1283" t="str">
        <f t="shared" si="61"/>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98" t="s">
        <v>90</v>
      </c>
      <c r="P78" s="1298"/>
      <c r="Q78" s="1298"/>
      <c r="R78" s="1298"/>
      <c r="S78" s="1298"/>
      <c r="T78" s="1277" t="s">
        <v>2077</v>
      </c>
      <c r="U78" s="1277"/>
      <c r="V78" s="1277"/>
      <c r="W78" s="1277"/>
      <c r="X78" s="1277"/>
      <c r="Y78" s="1284"/>
      <c r="Z78" s="1262" t="s">
        <v>2078</v>
      </c>
      <c r="AA78" s="1269"/>
      <c r="AB78" s="1262"/>
      <c r="AC78" s="1262"/>
      <c r="AD78" s="1262"/>
    </row>
    <row r="79" ht="36" customHeight="1">
      <c r="A79" s="1279"/>
      <c r="B79" s="1285">
        <v>62</v>
      </c>
      <c r="C79" s="1277" t="s">
        <v>2054</v>
      </c>
      <c r="D79" s="1295"/>
      <c r="E79" s="1277"/>
      <c r="F79" s="1277"/>
      <c r="G79" s="1277"/>
      <c r="H79" s="1300"/>
      <c r="I79" s="1297" t="str">
        <f t="shared" si="56"/>
        <v>8</v>
      </c>
      <c r="J79" s="1297" t="str">
        <f t="shared" si="57"/>
        <v xml:space="preserve">Тепловая нагрузка по договорам, заключенным в рамках осуществления регулируемых видов деятельности</v>
      </c>
      <c r="K79" s="1297" t="str">
        <f t="shared" si="58"/>
        <v xml:space="preserve">Регулируемыми организациями указывается информация по договорам, заключенным в рамках осуществления регулируемых видов деятельности</v>
      </c>
      <c r="L79" s="1283" t="str">
        <f t="shared" si="59"/>
        <v>8</v>
      </c>
      <c r="M79" s="1283" t="str">
        <f t="shared" si="60"/>
        <v xml:space="preserve">Тепловая нагрузка по договорам, заключенным в рамках осуществления регулируемых видов деятельности</v>
      </c>
      <c r="N79" s="1283" t="str">
        <f t="shared" si="61"/>
        <v xml:space="preserve">Регулируемыми организациями указывается информация по договорам, заключенным в рамках осуществления регулируемых видов деятельности</v>
      </c>
      <c r="O79" s="1298" t="s">
        <v>113</v>
      </c>
      <c r="P79" s="1298"/>
      <c r="Q79" s="1298"/>
      <c r="R79" s="1298"/>
      <c r="S79" s="1298"/>
      <c r="T79" s="1277" t="s">
        <v>2079</v>
      </c>
      <c r="U79" s="1277"/>
      <c r="V79" s="1277"/>
      <c r="W79" s="1277"/>
      <c r="X79" s="1277"/>
      <c r="Y79" s="1284"/>
      <c r="Z79" s="1262" t="s">
        <v>2080</v>
      </c>
      <c r="AA79" s="1269"/>
      <c r="AB79" s="1262"/>
      <c r="AC79" s="1262"/>
      <c r="AD79" s="1262"/>
    </row>
    <row r="80" ht="45" customHeight="1">
      <c r="A80" s="1279"/>
      <c r="B80" s="1285">
        <v>63</v>
      </c>
      <c r="C80" s="1277" t="s">
        <v>2056</v>
      </c>
      <c r="D80" s="1295"/>
      <c r="E80" s="1277"/>
      <c r="F80" s="1277"/>
      <c r="G80" s="1277"/>
      <c r="H80" s="1300"/>
      <c r="I80" s="1297" t="str">
        <f t="shared" si="56"/>
        <v>9</v>
      </c>
      <c r="J80" s="1297" t="str">
        <f t="shared" si="57"/>
        <v xml:space="preserve">Объем вырабатываемой регулируемой организацией тепловой энергии в рамках осуществления регулируемых видов деятельности</v>
      </c>
      <c r="K80" s="1297" t="str">
        <f t="shared" si="58"/>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L80" s="1283" t="str">
        <f t="shared" si="59"/>
        <v>9</v>
      </c>
      <c r="M80" s="1283" t="str">
        <f t="shared" si="60"/>
        <v xml:space="preserve">Объем вырабатываемой регулируемой организацией тепловой энергии в рамках осуществления регулируемых видов деятельности</v>
      </c>
      <c r="N80" s="1283" t="str">
        <f t="shared" si="61"/>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O80" s="1298" t="s">
        <v>150</v>
      </c>
      <c r="P80" s="1298"/>
      <c r="Q80" s="1298"/>
      <c r="R80" s="1298"/>
      <c r="S80" s="1298"/>
      <c r="T80" s="1277" t="s">
        <v>2081</v>
      </c>
      <c r="U80" s="1277"/>
      <c r="V80" s="1277"/>
      <c r="W80" s="1277"/>
      <c r="X80" s="1277"/>
      <c r="Y80" s="1284"/>
      <c r="Z80" s="1262" t="s">
        <v>2082</v>
      </c>
      <c r="AA80" s="1269"/>
      <c r="AB80" s="1262"/>
      <c r="AC80" s="1262"/>
      <c r="AD80" s="1262"/>
    </row>
    <row r="81" ht="36" customHeight="1">
      <c r="A81" s="1279"/>
      <c r="B81" s="1285">
        <v>64</v>
      </c>
      <c r="C81" s="1277" t="s">
        <v>2058</v>
      </c>
      <c r="D81" s="1295"/>
      <c r="E81" s="1277"/>
      <c r="F81" s="1277"/>
      <c r="G81" s="1277"/>
      <c r="H81" s="1300"/>
      <c r="I81" s="1297" t="str">
        <f t="shared" si="56"/>
        <v>9.1</v>
      </c>
      <c r="J81" s="1297" t="str">
        <f t="shared" si="57"/>
        <v xml:space="preserve">Объем приобретаемой регулируемой организацией тепловой энергии в рамках осуществления регулируемых видов деятельности</v>
      </c>
      <c r="K81" s="1297" t="str">
        <f t="shared" si="58"/>
        <v xml:space="preserve">Информация указывается только едиными теплоснабжающими организациями.</v>
      </c>
      <c r="L81" s="1283" t="str">
        <f t="shared" si="59"/>
        <v>9.1</v>
      </c>
      <c r="M81" s="1283" t="str">
        <f t="shared" si="60"/>
        <v xml:space="preserve">Объем приобретаемой регулируемой организацией тепловой энергии в рамках осуществления регулируемых видов деятельности</v>
      </c>
      <c r="N81" s="1283" t="str">
        <f t="shared" si="61"/>
        <v xml:space="preserve">Информация указывается только едиными теплоснабжающими организациями.</v>
      </c>
      <c r="O81" s="1298" t="s">
        <v>1961</v>
      </c>
      <c r="P81" s="1298"/>
      <c r="Q81" s="1298"/>
      <c r="R81" s="1298"/>
      <c r="S81" s="1298"/>
      <c r="T81" s="1277" t="s">
        <v>2083</v>
      </c>
      <c r="U81" s="1277"/>
      <c r="V81" s="1277"/>
      <c r="W81" s="1277"/>
      <c r="X81" s="1277"/>
      <c r="Y81" s="1284"/>
      <c r="Z81" s="1262" t="s">
        <v>2084</v>
      </c>
      <c r="AA81" s="1269"/>
      <c r="AB81" s="1262"/>
      <c r="AC81" s="1262"/>
      <c r="AD81" s="1262"/>
    </row>
    <row r="82" ht="90" customHeight="1">
      <c r="A82" s="1279"/>
      <c r="B82" s="1285">
        <v>65</v>
      </c>
      <c r="C82" s="1277" t="s">
        <v>2067</v>
      </c>
      <c r="D82" s="1295"/>
      <c r="E82" s="1277"/>
      <c r="F82" s="1277"/>
      <c r="G82" s="1277"/>
      <c r="H82" s="1300"/>
      <c r="I82" s="1297" t="str">
        <f t="shared" ref="I82:I99" si="62">INDEX(TEMPLATE_NUMBER_POINT_FHD,B82,MATCH(TEMPLATE_SPHERE,TEMPLATE_SPHERE_LIST_FOR_NOTE,0))</f>
        <v>10</v>
      </c>
      <c r="J82" s="1297" t="str">
        <f t="shared" ref="J82:J99" si="63">INDEX(TEMPLATE_DATA_POINT_FHD,B82,MATCH(TEMPLATE_SPHERE,TEMPLATE_SPHERE_LIST_FOR_NOTE,0))</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97" t="str">
        <f t="shared" ref="K82:K99" si="64">INDEX(TEMPLATE_NOTE_POINT_FHD,B82,MATCH(TEMPLATE_SPHERE,TEMPLATE_SPHERE_LIST_FOR_NOTE,0))</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83" t="str">
        <f t="shared" ref="L82:L99" si="65">IF(I82=0,"",I82)</f>
        <v>10</v>
      </c>
      <c r="M82" s="1283" t="str">
        <f t="shared" ref="M82:M99" si="66">IF(J82=0,"",J82)</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83" t="str">
        <f t="shared" ref="N82:N99" si="67">IF(K82=0,"",K82)</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98" t="s">
        <v>151</v>
      </c>
      <c r="P82" s="1298"/>
      <c r="Q82" s="1298"/>
      <c r="R82" s="1298"/>
      <c r="S82" s="1298"/>
      <c r="T82" s="1277" t="s">
        <v>2085</v>
      </c>
      <c r="U82" s="1277"/>
      <c r="V82" s="1277"/>
      <c r="W82" s="1277"/>
      <c r="X82" s="1277"/>
      <c r="Y82" s="1284"/>
      <c r="Z82" s="1262" t="s">
        <v>2086</v>
      </c>
      <c r="AA82" s="1269"/>
      <c r="AB82" s="1262"/>
      <c r="AC82" s="1262"/>
      <c r="AD82" s="1262"/>
    </row>
    <row r="83" ht="9" customHeight="1">
      <c r="A83" s="1279"/>
      <c r="B83" s="1285">
        <v>66</v>
      </c>
      <c r="C83" s="1277"/>
      <c r="D83" s="1295"/>
      <c r="E83" s="1277"/>
      <c r="F83" s="1277"/>
      <c r="G83" s="1277"/>
      <c r="H83" s="1300"/>
      <c r="I83" s="1297" t="str">
        <f t="shared" si="62"/>
        <v>10.1</v>
      </c>
      <c r="J83" s="1297" t="str">
        <f t="shared" si="63"/>
        <v xml:space="preserve">По приборам учёта</v>
      </c>
      <c r="K83" s="1297">
        <f t="shared" si="64"/>
        <v>0</v>
      </c>
      <c r="L83" s="1283" t="str">
        <f t="shared" si="65"/>
        <v>10.1</v>
      </c>
      <c r="M83" s="1283" t="str">
        <f t="shared" si="66"/>
        <v xml:space="preserve">По приборам учёта</v>
      </c>
      <c r="N83" s="1283" t="str">
        <f t="shared" si="67"/>
        <v/>
      </c>
      <c r="O83" s="1298" t="s">
        <v>1970</v>
      </c>
      <c r="P83" s="1298"/>
      <c r="Q83" s="1298"/>
      <c r="R83" s="1298"/>
      <c r="S83" s="1298"/>
      <c r="T83" s="1277" t="s">
        <v>2087</v>
      </c>
      <c r="U83" s="1277"/>
      <c r="V83" s="1277"/>
      <c r="W83" s="1277"/>
      <c r="X83" s="1277"/>
      <c r="Y83" s="1284"/>
      <c r="Z83" s="1262"/>
      <c r="AA83" s="1269"/>
      <c r="AB83" s="1262"/>
      <c r="AC83" s="1262"/>
      <c r="AD83" s="1262"/>
    </row>
    <row r="84" ht="54" customHeight="1">
      <c r="A84" s="1279"/>
      <c r="B84" s="1285">
        <v>67</v>
      </c>
      <c r="C84" s="1277"/>
      <c r="D84" s="1295"/>
      <c r="E84" s="1277"/>
      <c r="F84" s="1277"/>
      <c r="G84" s="1277"/>
      <c r="H84" s="1300"/>
      <c r="I84" s="1297" t="str">
        <f t="shared" si="62"/>
        <v>10.1.1</v>
      </c>
      <c r="J84" s="1297" t="str">
        <f t="shared" si="63"/>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97">
        <f t="shared" si="64"/>
        <v>0</v>
      </c>
      <c r="L84" s="1283" t="str">
        <f t="shared" si="65"/>
        <v>10.1.1</v>
      </c>
      <c r="M84" s="1283" t="str">
        <f t="shared" si="66"/>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83" t="str">
        <f t="shared" si="67"/>
        <v/>
      </c>
      <c r="O84" s="1298" t="s">
        <v>2088</v>
      </c>
      <c r="P84" s="1298"/>
      <c r="Q84" s="1298"/>
      <c r="R84" s="1298"/>
      <c r="S84" s="1298"/>
      <c r="T84" s="1277" t="s">
        <v>2089</v>
      </c>
      <c r="U84" s="1277"/>
      <c r="V84" s="1277"/>
      <c r="W84" s="1277"/>
      <c r="X84" s="1277"/>
      <c r="Y84" s="1284"/>
      <c r="Z84" s="1262"/>
      <c r="AA84" s="1269"/>
      <c r="AB84" s="1262"/>
      <c r="AC84" s="1262"/>
      <c r="AD84" s="1262"/>
    </row>
    <row r="85" ht="9" customHeight="1">
      <c r="A85" s="1279"/>
      <c r="B85" s="1285">
        <v>68</v>
      </c>
      <c r="C85" s="1277"/>
      <c r="D85" s="1295"/>
      <c r="E85" s="1277"/>
      <c r="F85" s="1277"/>
      <c r="G85" s="1277"/>
      <c r="H85" s="1300"/>
      <c r="I85" s="1297" t="str">
        <f t="shared" si="62"/>
        <v>10.2</v>
      </c>
      <c r="J85" s="1297" t="str">
        <f t="shared" si="63"/>
        <v xml:space="preserve">Расчётным путём</v>
      </c>
      <c r="K85" s="1297">
        <f t="shared" si="64"/>
        <v>0</v>
      </c>
      <c r="L85" s="1283" t="str">
        <f t="shared" si="65"/>
        <v>10.2</v>
      </c>
      <c r="M85" s="1283" t="str">
        <f t="shared" si="66"/>
        <v xml:space="preserve">Расчётным путём</v>
      </c>
      <c r="N85" s="1283" t="str">
        <f t="shared" si="67"/>
        <v/>
      </c>
      <c r="O85" s="1298" t="s">
        <v>1974</v>
      </c>
      <c r="P85" s="1298"/>
      <c r="Q85" s="1298"/>
      <c r="R85" s="1298"/>
      <c r="S85" s="1298"/>
      <c r="T85" s="1277" t="s">
        <v>2090</v>
      </c>
      <c r="U85" s="1277"/>
      <c r="V85" s="1277"/>
      <c r="W85" s="1277"/>
      <c r="X85" s="1277"/>
      <c r="Y85" s="1284"/>
      <c r="Z85" s="1262"/>
      <c r="AA85" s="1269"/>
      <c r="AB85" s="1262"/>
      <c r="AC85" s="1262"/>
      <c r="AD85" s="1262"/>
    </row>
    <row r="86" ht="27" customHeight="1">
      <c r="A86" s="1279"/>
      <c r="B86" s="1285">
        <v>69</v>
      </c>
      <c r="C86" s="1277"/>
      <c r="D86" s="1295"/>
      <c r="E86" s="1277"/>
      <c r="F86" s="1277"/>
      <c r="G86" s="1277"/>
      <c r="H86" s="1300"/>
      <c r="I86" s="1297" t="str">
        <f t="shared" si="62"/>
        <v>10.3</v>
      </c>
      <c r="J86" s="1297" t="str">
        <f t="shared" si="63"/>
        <v xml:space="preserve">По нормативам потребления коммунальных услуг и нормативам потребления коммунальных ресурсов</v>
      </c>
      <c r="K86" s="1297">
        <f t="shared" si="64"/>
        <v>0</v>
      </c>
      <c r="L86" s="1283" t="str">
        <f t="shared" si="65"/>
        <v>10.3</v>
      </c>
      <c r="M86" s="1283" t="str">
        <f t="shared" si="66"/>
        <v xml:space="preserve">По нормативам потребления коммунальных услуг и нормативам потребления коммунальных ресурсов</v>
      </c>
      <c r="N86" s="1283" t="str">
        <f t="shared" si="67"/>
        <v/>
      </c>
      <c r="O86" s="1298" t="s">
        <v>2091</v>
      </c>
      <c r="P86" s="1298"/>
      <c r="Q86" s="1298"/>
      <c r="R86" s="1298"/>
      <c r="S86" s="1298"/>
      <c r="T86" s="1277" t="s">
        <v>2092</v>
      </c>
      <c r="U86" s="1277"/>
      <c r="V86" s="1277"/>
      <c r="W86" s="1277"/>
      <c r="X86" s="1277"/>
      <c r="Y86" s="1284"/>
      <c r="Z86" s="1262"/>
      <c r="AA86" s="1269"/>
      <c r="AB86" s="1262"/>
      <c r="AC86" s="1262"/>
      <c r="AD86" s="1262"/>
    </row>
    <row r="87" ht="36" customHeight="1">
      <c r="A87" s="1279"/>
      <c r="B87" s="1285">
        <v>70</v>
      </c>
      <c r="C87" s="1277" t="s">
        <v>2093</v>
      </c>
      <c r="D87" s="1295"/>
      <c r="E87" s="1277"/>
      <c r="F87" s="1277"/>
      <c r="G87" s="1277"/>
      <c r="H87" s="1300"/>
      <c r="I87" s="1297" t="str">
        <f t="shared" si="62"/>
        <v>11</v>
      </c>
      <c r="J87" s="1297" t="str">
        <f t="shared" si="63"/>
        <v xml:space="preserve">Нормативы технологических потерь при передаче тепловой энергии, теплоносителя по тепловым сетям, утвержденные уполномоченным органом</v>
      </c>
      <c r="K87" s="1297">
        <f t="shared" si="64"/>
        <v>0</v>
      </c>
      <c r="L87" s="1283" t="str">
        <f t="shared" si="65"/>
        <v>11</v>
      </c>
      <c r="M87" s="1283" t="str">
        <f t="shared" si="66"/>
        <v xml:space="preserve">Нормативы технологических потерь при передаче тепловой энергии, теплоносителя по тепловым сетям, утвержденные уполномоченным органом</v>
      </c>
      <c r="N87" s="1283" t="str">
        <f t="shared" si="67"/>
        <v/>
      </c>
      <c r="O87" s="1298" t="s">
        <v>152</v>
      </c>
      <c r="P87" s="1298"/>
      <c r="Q87" s="1298"/>
      <c r="R87" s="1298"/>
      <c r="S87" s="1298"/>
      <c r="T87" s="1277" t="s">
        <v>2094</v>
      </c>
      <c r="U87" s="1277"/>
      <c r="V87" s="1277"/>
      <c r="W87" s="1277"/>
      <c r="X87" s="1277"/>
      <c r="Y87" s="1284"/>
      <c r="Z87" s="1262"/>
      <c r="AA87" s="1269"/>
      <c r="AB87" s="1262"/>
      <c r="AC87" s="1262"/>
      <c r="AD87" s="1262"/>
    </row>
    <row r="88" ht="18" customHeight="1">
      <c r="A88" s="1279"/>
      <c r="B88" s="1285">
        <v>71</v>
      </c>
      <c r="C88" s="1277" t="s">
        <v>2095</v>
      </c>
      <c r="D88" s="1295"/>
      <c r="E88" s="1277"/>
      <c r="F88" s="1277"/>
      <c r="G88" s="1277"/>
      <c r="H88" s="1300"/>
      <c r="I88" s="1297" t="str">
        <f t="shared" si="62"/>
        <v>12</v>
      </c>
      <c r="J88" s="1297" t="str">
        <f t="shared" si="63"/>
        <v xml:space="preserve">Фактический объем потерь при передаче тепловой энергии</v>
      </c>
      <c r="K88" s="1297">
        <f t="shared" si="64"/>
        <v>0</v>
      </c>
      <c r="L88" s="1283" t="str">
        <f t="shared" si="65"/>
        <v>12</v>
      </c>
      <c r="M88" s="1283" t="str">
        <f t="shared" si="66"/>
        <v xml:space="preserve">Фактический объем потерь при передаче тепловой энергии</v>
      </c>
      <c r="N88" s="1283" t="str">
        <f t="shared" si="67"/>
        <v/>
      </c>
      <c r="O88" s="1298" t="s">
        <v>153</v>
      </c>
      <c r="P88" s="1298"/>
      <c r="Q88" s="1298"/>
      <c r="R88" s="1298"/>
      <c r="S88" s="1298"/>
      <c r="T88" s="1277" t="s">
        <v>2096</v>
      </c>
      <c r="U88" s="1277"/>
      <c r="V88" s="1277"/>
      <c r="W88" s="1277"/>
      <c r="X88" s="1277"/>
      <c r="Y88" s="1284"/>
      <c r="Z88" s="1262"/>
      <c r="AA88" s="1269"/>
      <c r="AB88" s="1262"/>
      <c r="AC88" s="1262"/>
      <c r="AD88" s="1262"/>
    </row>
    <row r="89" ht="18" customHeight="1">
      <c r="A89" s="1279"/>
      <c r="B89" s="1285">
        <v>72</v>
      </c>
      <c r="C89" s="1277" t="s">
        <v>2097</v>
      </c>
      <c r="D89" s="1295" t="s">
        <v>2093</v>
      </c>
      <c r="E89" s="1277" t="s">
        <v>2093</v>
      </c>
      <c r="F89" s="1277" t="s">
        <v>2058</v>
      </c>
      <c r="G89" s="1277"/>
      <c r="H89" s="1300"/>
      <c r="I89" s="1297" t="str">
        <f t="shared" si="62"/>
        <v>13</v>
      </c>
      <c r="J89" s="1297" t="str">
        <f t="shared" si="63"/>
        <v xml:space="preserve">Среднесписочная численность основного производственного персонала</v>
      </c>
      <c r="K89" s="1297">
        <f t="shared" si="64"/>
        <v>0</v>
      </c>
      <c r="L89" s="1283" t="str">
        <f t="shared" si="65"/>
        <v>13</v>
      </c>
      <c r="M89" s="1283" t="str">
        <f t="shared" si="66"/>
        <v xml:space="preserve">Среднесписочная численность основного производственного персонала</v>
      </c>
      <c r="N89" s="1283" t="str">
        <f t="shared" si="67"/>
        <v/>
      </c>
      <c r="O89" s="1298" t="s">
        <v>154</v>
      </c>
      <c r="P89" s="1298" t="s">
        <v>153</v>
      </c>
      <c r="Q89" s="1298" t="s">
        <v>153</v>
      </c>
      <c r="R89" s="1298" t="s">
        <v>151</v>
      </c>
      <c r="S89" s="1298"/>
      <c r="T89" s="1277" t="s">
        <v>2098</v>
      </c>
      <c r="U89" s="1277" t="s">
        <v>2098</v>
      </c>
      <c r="V89" s="1277" t="s">
        <v>2098</v>
      </c>
      <c r="W89" s="1277" t="s">
        <v>2098</v>
      </c>
      <c r="X89" s="1277"/>
      <c r="Y89" s="1284"/>
      <c r="Z89" s="1262"/>
      <c r="AA89" s="1269"/>
      <c r="AB89" s="1262"/>
      <c r="AC89" s="1262"/>
      <c r="AD89" s="1262"/>
    </row>
    <row r="90" ht="27" customHeight="1">
      <c r="A90" s="1279"/>
      <c r="B90" s="1285">
        <v>73</v>
      </c>
      <c r="C90" s="1277" t="s">
        <v>2099</v>
      </c>
      <c r="D90" s="1295"/>
      <c r="E90" s="1277"/>
      <c r="F90" s="1277"/>
      <c r="G90" s="1277"/>
      <c r="H90" s="1300"/>
      <c r="I90" s="1297" t="str">
        <f t="shared" si="62"/>
        <v>14</v>
      </c>
      <c r="J90" s="1297" t="str">
        <f t="shared" si="63"/>
        <v xml:space="preserve">Среднесписочная численность административно-управленческого персонала</v>
      </c>
      <c r="K90" s="1297">
        <f t="shared" si="64"/>
        <v>0</v>
      </c>
      <c r="L90" s="1283" t="str">
        <f t="shared" si="65"/>
        <v>14</v>
      </c>
      <c r="M90" s="1283" t="str">
        <f t="shared" si="66"/>
        <v xml:space="preserve">Среднесписочная численность административно-управленческого персонала</v>
      </c>
      <c r="N90" s="1283" t="str">
        <f t="shared" si="67"/>
        <v/>
      </c>
      <c r="O90" s="1298" t="s">
        <v>155</v>
      </c>
      <c r="P90" s="1298"/>
      <c r="Q90" s="1298"/>
      <c r="R90" s="1298"/>
      <c r="S90" s="1298"/>
      <c r="T90" s="1277" t="s">
        <v>2100</v>
      </c>
      <c r="U90" s="1277"/>
      <c r="V90" s="1277"/>
      <c r="W90" s="1277"/>
      <c r="X90" s="1277"/>
      <c r="Y90" s="1284"/>
      <c r="Z90" s="1262"/>
      <c r="AA90" s="1269"/>
      <c r="AB90" s="1262"/>
      <c r="AC90" s="1262"/>
      <c r="AD90" s="1262"/>
    </row>
    <row r="91" ht="18" customHeight="1">
      <c r="A91" s="1279"/>
      <c r="B91" s="1285">
        <v>74</v>
      </c>
      <c r="C91" s="1277"/>
      <c r="D91" s="1295" t="s">
        <v>2095</v>
      </c>
      <c r="E91" s="1277" t="s">
        <v>2095</v>
      </c>
      <c r="F91" s="1277"/>
      <c r="G91" s="1277"/>
      <c r="H91" s="1300"/>
      <c r="I91" s="1297">
        <f t="shared" si="62"/>
        <v>0</v>
      </c>
      <c r="J91" s="1297">
        <f t="shared" si="63"/>
        <v>0</v>
      </c>
      <c r="K91" s="1297">
        <f t="shared" si="64"/>
        <v>0</v>
      </c>
      <c r="L91" s="1283" t="str">
        <f t="shared" si="65"/>
        <v/>
      </c>
      <c r="M91" s="1283" t="str">
        <f t="shared" si="66"/>
        <v/>
      </c>
      <c r="N91" s="1283" t="str">
        <f t="shared" si="67"/>
        <v/>
      </c>
      <c r="O91" s="1298"/>
      <c r="P91" s="1298" t="s">
        <v>154</v>
      </c>
      <c r="Q91" s="1298" t="s">
        <v>154</v>
      </c>
      <c r="R91" s="1298"/>
      <c r="S91" s="1298"/>
      <c r="T91" s="1277"/>
      <c r="U91" s="1277" t="s">
        <v>2101</v>
      </c>
      <c r="V91" s="1277" t="s">
        <v>2101</v>
      </c>
      <c r="W91" s="1277"/>
      <c r="X91" s="1277"/>
      <c r="Y91" s="1284"/>
      <c r="Z91" s="1262"/>
      <c r="AA91" s="1269"/>
      <c r="AB91" s="1262"/>
      <c r="AC91" s="1262"/>
      <c r="AD91" s="1262"/>
    </row>
    <row r="92" ht="27" customHeight="1">
      <c r="A92" s="1279"/>
      <c r="B92" s="1285">
        <v>75</v>
      </c>
      <c r="C92" s="1277"/>
      <c r="D92" s="1295" t="s">
        <v>2097</v>
      </c>
      <c r="E92" s="1277"/>
      <c r="F92" s="1277"/>
      <c r="G92" s="1277"/>
      <c r="H92" s="1300"/>
      <c r="I92" s="1297">
        <f t="shared" si="62"/>
        <v>0</v>
      </c>
      <c r="J92" s="1297">
        <f t="shared" si="63"/>
        <v>0</v>
      </c>
      <c r="K92" s="1297">
        <f t="shared" si="64"/>
        <v>0</v>
      </c>
      <c r="L92" s="1283" t="str">
        <f t="shared" si="65"/>
        <v/>
      </c>
      <c r="M92" s="1283" t="str">
        <f t="shared" si="66"/>
        <v/>
      </c>
      <c r="N92" s="1283" t="str">
        <f t="shared" si="67"/>
        <v/>
      </c>
      <c r="O92" s="1298"/>
      <c r="P92" s="1298" t="s">
        <v>155</v>
      </c>
      <c r="Q92" s="1298"/>
      <c r="R92" s="1298"/>
      <c r="S92" s="1298"/>
      <c r="T92" s="1277"/>
      <c r="U92" s="1277" t="s">
        <v>2102</v>
      </c>
      <c r="V92" s="1277"/>
      <c r="W92" s="1277"/>
      <c r="X92" s="1277"/>
      <c r="Y92" s="1284"/>
      <c r="Z92" s="1262"/>
      <c r="AA92" s="1269" t="s">
        <v>2103</v>
      </c>
      <c r="AB92" s="1262"/>
      <c r="AC92" s="1262"/>
      <c r="AD92" s="1262"/>
    </row>
    <row r="93" ht="27" customHeight="1">
      <c r="A93" s="1279"/>
      <c r="B93" s="1285">
        <v>76</v>
      </c>
      <c r="C93" s="1277"/>
      <c r="D93" s="1295"/>
      <c r="E93" s="1277"/>
      <c r="F93" s="1277"/>
      <c r="G93" s="1277"/>
      <c r="H93" s="1300"/>
      <c r="I93" s="1297">
        <f t="shared" si="62"/>
        <v>0</v>
      </c>
      <c r="J93" s="1297">
        <f t="shared" si="63"/>
        <v>0</v>
      </c>
      <c r="K93" s="1297">
        <f t="shared" si="64"/>
        <v>0</v>
      </c>
      <c r="L93" s="1283" t="str">
        <f t="shared" si="65"/>
        <v/>
      </c>
      <c r="M93" s="1283" t="str">
        <f t="shared" si="66"/>
        <v/>
      </c>
      <c r="N93" s="1283" t="str">
        <f t="shared" si="67"/>
        <v/>
      </c>
      <c r="O93" s="1298"/>
      <c r="P93" s="1298" t="s">
        <v>2002</v>
      </c>
      <c r="Q93" s="1298"/>
      <c r="R93" s="1298"/>
      <c r="S93" s="1298"/>
      <c r="T93" s="1277"/>
      <c r="U93" s="1277" t="s">
        <v>2104</v>
      </c>
      <c r="V93" s="1277"/>
      <c r="W93" s="1277"/>
      <c r="X93" s="1277"/>
      <c r="Y93" s="1284"/>
      <c r="Z93" s="1262"/>
      <c r="AA93" s="1269" t="s">
        <v>2105</v>
      </c>
      <c r="AB93" s="1262"/>
      <c r="AC93" s="1262"/>
      <c r="AD93" s="1262"/>
    </row>
    <row r="94" ht="45" customHeight="1">
      <c r="A94" s="1279"/>
      <c r="B94" s="1285">
        <v>77</v>
      </c>
      <c r="C94" s="1277"/>
      <c r="D94" s="1295" t="s">
        <v>2099</v>
      </c>
      <c r="E94" s="1277"/>
      <c r="F94" s="1277"/>
      <c r="G94" s="1277"/>
      <c r="H94" s="1300"/>
      <c r="I94" s="1297">
        <f t="shared" si="62"/>
        <v>0</v>
      </c>
      <c r="J94" s="1297">
        <f t="shared" si="63"/>
        <v>0</v>
      </c>
      <c r="K94" s="1297">
        <f t="shared" si="64"/>
        <v>0</v>
      </c>
      <c r="L94" s="1283" t="str">
        <f t="shared" si="65"/>
        <v/>
      </c>
      <c r="M94" s="1283" t="str">
        <f t="shared" si="66"/>
        <v/>
      </c>
      <c r="N94" s="1283" t="str">
        <f t="shared" si="67"/>
        <v/>
      </c>
      <c r="O94" s="1298"/>
      <c r="P94" s="1298" t="s">
        <v>1453</v>
      </c>
      <c r="Q94" s="1298"/>
      <c r="R94" s="1298"/>
      <c r="S94" s="1298"/>
      <c r="T94" s="1277"/>
      <c r="U94" s="1277" t="s">
        <v>2106</v>
      </c>
      <c r="V94" s="1277"/>
      <c r="W94" s="1277"/>
      <c r="X94" s="1277"/>
      <c r="Y94" s="1284"/>
      <c r="Z94" s="1262"/>
      <c r="AA94" s="1269" t="s">
        <v>2107</v>
      </c>
      <c r="AB94" s="1262"/>
      <c r="AC94" s="1262"/>
      <c r="AD94" s="1262"/>
    </row>
    <row r="95" ht="99" customHeight="1">
      <c r="A95" s="1279"/>
      <c r="B95" s="1285">
        <v>78</v>
      </c>
      <c r="C95" s="1277" t="s">
        <v>2108</v>
      </c>
      <c r="D95" s="1295"/>
      <c r="E95" s="1277"/>
      <c r="F95" s="1277"/>
      <c r="G95" s="1277"/>
      <c r="H95" s="1300"/>
      <c r="I95" s="1297" t="str">
        <f t="shared" si="62"/>
        <v>15</v>
      </c>
      <c r="J95" s="1297" t="str">
        <f t="shared" si="63"/>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97">
        <f t="shared" si="64"/>
        <v>0</v>
      </c>
      <c r="L95" s="1283" t="str">
        <f t="shared" si="65"/>
        <v>15</v>
      </c>
      <c r="M95" s="1283" t="str">
        <f t="shared" si="66"/>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83" t="str">
        <f t="shared" si="67"/>
        <v/>
      </c>
      <c r="O95" s="1298" t="s">
        <v>1453</v>
      </c>
      <c r="P95" s="1298"/>
      <c r="Q95" s="1298"/>
      <c r="R95" s="1298"/>
      <c r="S95" s="1298"/>
      <c r="T95" s="1277" t="s">
        <v>2109</v>
      </c>
      <c r="U95" s="1277"/>
      <c r="V95" s="1277"/>
      <c r="W95" s="1277"/>
      <c r="X95" s="1277"/>
      <c r="Y95" s="1284"/>
      <c r="Z95" s="1262"/>
      <c r="AA95" s="1269"/>
      <c r="AB95" s="1262"/>
      <c r="AC95" s="1262"/>
      <c r="AD95" s="1262"/>
    </row>
    <row r="96" ht="99" customHeight="1">
      <c r="A96" s="1279"/>
      <c r="B96" s="1285">
        <v>79</v>
      </c>
      <c r="C96" s="1277" t="s">
        <v>1047</v>
      </c>
      <c r="D96" s="1295"/>
      <c r="E96" s="1277"/>
      <c r="F96" s="1277"/>
      <c r="G96" s="1277"/>
      <c r="H96" s="1300"/>
      <c r="I96" s="1297" t="str">
        <f t="shared" si="62"/>
        <v>16</v>
      </c>
      <c r="J96" s="1297" t="str">
        <f t="shared" si="63"/>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97" t="str">
        <f t="shared" si="64"/>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83" t="str">
        <f t="shared" si="65"/>
        <v>16</v>
      </c>
      <c r="M96" s="1283" t="str">
        <f t="shared" si="66"/>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83" t="str">
        <f t="shared" si="67"/>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98" t="s">
        <v>1459</v>
      </c>
      <c r="P96" s="1298"/>
      <c r="Q96" s="1298"/>
      <c r="R96" s="1298"/>
      <c r="S96" s="1298"/>
      <c r="T96" s="1277" t="s">
        <v>2110</v>
      </c>
      <c r="U96" s="1277"/>
      <c r="V96" s="1277"/>
      <c r="W96" s="1277"/>
      <c r="X96" s="1277"/>
      <c r="Y96" s="1284"/>
      <c r="Z96" s="1262" t="s">
        <v>2111</v>
      </c>
      <c r="AA96" s="1269"/>
      <c r="AB96" s="1262"/>
      <c r="AC96" s="1262"/>
      <c r="AD96" s="1262"/>
    </row>
    <row r="97" ht="63" customHeight="1">
      <c r="A97" s="1279"/>
      <c r="B97" s="1285">
        <v>80</v>
      </c>
      <c r="C97" s="1277" t="s">
        <v>2112</v>
      </c>
      <c r="D97" s="1295"/>
      <c r="E97" s="1277"/>
      <c r="F97" s="1277"/>
      <c r="G97" s="1277"/>
      <c r="H97" s="1300"/>
      <c r="I97" s="1297" t="str">
        <f t="shared" si="62"/>
        <v>17</v>
      </c>
      <c r="J97" s="1297" t="str">
        <f t="shared" si="63"/>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97" t="str">
        <f t="shared" si="64"/>
        <v xml:space="preserve">Регулируемыми организациями указывается информация с по договорам, заключенным в рамках осуществления регулируемой деятельности.</v>
      </c>
      <c r="L97" s="1283" t="str">
        <f t="shared" si="65"/>
        <v>17</v>
      </c>
      <c r="M97" s="1283" t="str">
        <f t="shared" si="66"/>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83" t="str">
        <f t="shared" si="67"/>
        <v xml:space="preserve">Регулируемыми организациями указывается информация с по договорам, заключенным в рамках осуществления регулируемой деятельности.</v>
      </c>
      <c r="O97" s="1298" t="s">
        <v>1470</v>
      </c>
      <c r="P97" s="1298"/>
      <c r="Q97" s="1298"/>
      <c r="R97" s="1298"/>
      <c r="S97" s="1298"/>
      <c r="T97" s="1277" t="s">
        <v>2113</v>
      </c>
      <c r="U97" s="1277"/>
      <c r="V97" s="1277"/>
      <c r="W97" s="1277"/>
      <c r="X97" s="1277"/>
      <c r="Y97" s="1284"/>
      <c r="Z97" s="1262" t="s">
        <v>2114</v>
      </c>
      <c r="AA97" s="1269"/>
      <c r="AB97" s="1262"/>
      <c r="AC97" s="1262"/>
      <c r="AD97" s="1262"/>
    </row>
    <row r="98" ht="63" customHeight="1">
      <c r="A98" s="1279"/>
      <c r="B98" s="1285">
        <v>81</v>
      </c>
      <c r="C98" s="1277" t="s">
        <v>2115</v>
      </c>
      <c r="D98" s="1295"/>
      <c r="E98" s="1277"/>
      <c r="F98" s="1277"/>
      <c r="G98" s="1277"/>
      <c r="H98" s="1300"/>
      <c r="I98" s="1297" t="str">
        <f t="shared" si="62"/>
        <v>18</v>
      </c>
      <c r="J98" s="1297" t="str">
        <f t="shared" si="63"/>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97" t="str">
        <f t="shared" si="64"/>
        <v xml:space="preserve">Регулируемыми организациями указывается информация с по договорам, заключенным в рамках осуществления регулируемой деятельности.</v>
      </c>
      <c r="L98" s="1283" t="str">
        <f t="shared" si="65"/>
        <v>18</v>
      </c>
      <c r="M98" s="1283" t="str">
        <f t="shared" si="66"/>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83" t="str">
        <f t="shared" si="67"/>
        <v xml:space="preserve">Регулируемыми организациями указывается информация с по договорам, заключенным в рамках осуществления регулируемой деятельности.</v>
      </c>
      <c r="O98" s="1298" t="s">
        <v>1484</v>
      </c>
      <c r="P98" s="1298"/>
      <c r="Q98" s="1298"/>
      <c r="R98" s="1298"/>
      <c r="S98" s="1298"/>
      <c r="T98" s="1277" t="s">
        <v>2116</v>
      </c>
      <c r="U98" s="1277"/>
      <c r="V98" s="1277"/>
      <c r="W98" s="1277"/>
      <c r="X98" s="1277"/>
      <c r="Y98" s="1284"/>
      <c r="Z98" s="1262" t="s">
        <v>2114</v>
      </c>
      <c r="AA98" s="1269"/>
      <c r="AB98" s="1262"/>
      <c r="AC98" s="1262"/>
      <c r="AD98" s="1262"/>
    </row>
    <row r="99" ht="90" customHeight="1">
      <c r="A99" s="1279"/>
      <c r="B99" s="1285">
        <v>82</v>
      </c>
      <c r="C99" s="1277" t="s">
        <v>2117</v>
      </c>
      <c r="D99" s="1295"/>
      <c r="E99" s="1277"/>
      <c r="F99" s="1277"/>
      <c r="G99" s="1277"/>
      <c r="H99" s="1300"/>
      <c r="I99" s="1297" t="str">
        <f t="shared" si="62"/>
        <v>19</v>
      </c>
      <c r="J99" s="1297" t="str">
        <f t="shared" si="63"/>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97" t="str">
        <f t="shared" si="64"/>
        <v xml:space="preserve">Указывается ссылка на документ, предварительно загруженный в хранилище файлов ФГИС ЕИАС.</v>
      </c>
      <c r="L99" s="1283" t="str">
        <f t="shared" si="65"/>
        <v>19</v>
      </c>
      <c r="M99" s="1283" t="str">
        <f t="shared" si="66"/>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83" t="str">
        <f t="shared" si="67"/>
        <v xml:space="preserve">Указывается ссылка на документ, предварительно загруженный в хранилище файлов ФГИС ЕИАС.</v>
      </c>
      <c r="O99" s="1298" t="s">
        <v>1496</v>
      </c>
      <c r="P99" s="1298"/>
      <c r="Q99" s="1298"/>
      <c r="R99" s="1298"/>
      <c r="S99" s="1298"/>
      <c r="T99" s="1277" t="s">
        <v>2118</v>
      </c>
      <c r="U99" s="1277"/>
      <c r="V99" s="1277"/>
      <c r="W99" s="1277"/>
      <c r="X99" s="1277"/>
      <c r="Y99" s="1284"/>
      <c r="Z99" s="1262" t="s">
        <v>785</v>
      </c>
      <c r="AA99" s="1269"/>
      <c r="AB99" s="1262"/>
      <c r="AC99" s="1262"/>
      <c r="AD99" s="1262"/>
    </row>
    <row r="100" ht="27" customHeight="1">
      <c r="A100" s="1279"/>
      <c r="B100" s="1285">
        <v>83</v>
      </c>
      <c r="C100" s="1277"/>
      <c r="D100" s="1295"/>
      <c r="E100" s="1277"/>
      <c r="F100" s="1277"/>
      <c r="G100" s="1277"/>
      <c r="H100" s="1300"/>
      <c r="I100" s="1297" t="str">
        <f t="shared" ref="I100:I101" si="68">INDEX(TEMPLATE_NUMBER_POINT_FHD,B100,MATCH(TEMPLATE_SPHERE,TEMPLATE_SPHERE_LIST_FOR_NOTE,0))</f>
        <v>19.1</v>
      </c>
      <c r="J100" s="1297" t="str">
        <f t="shared" ref="J100:J101" si="69">INDEX(TEMPLATE_DATA_POINT_FHD,B100,MATCH(TEMPLATE_SPHERE,TEMPLATE_SPHERE_LIST_FOR_NOTE,0))</f>
        <v xml:space="preserve">Информация о показателях физического износа объектов теплоснабжения</v>
      </c>
      <c r="K100" s="1297" t="str">
        <f t="shared" ref="K100:K101" si="70">INDEX(TEMPLATE_NOTE_POINT_FHD,B100,MATCH(TEMPLATE_SPHERE,TEMPLATE_SPHERE_LIST_FOR_NOTE,0))</f>
        <v xml:space="preserve">Указывается ссылка на документ, предварительно загруженный в хранилище файлов ФГИС ЕИАС.</v>
      </c>
      <c r="L100" s="1283" t="str">
        <f t="shared" ref="L100:L101" si="71">IF(I100=0,"",I100)</f>
        <v>19.1</v>
      </c>
      <c r="M100" s="1283" t="str">
        <f t="shared" ref="M100:M101" si="72">IF(J100=0,"",J100)</f>
        <v xml:space="preserve">Информация о показателях физического износа объектов теплоснабжения</v>
      </c>
      <c r="N100" s="1283" t="str">
        <f t="shared" ref="N100:N101" si="73">IF(K100=0,"",K100)</f>
        <v xml:space="preserve">Указывается ссылка на документ, предварительно загруженный в хранилище файлов ФГИС ЕИАС.</v>
      </c>
      <c r="O100" s="1298" t="s">
        <v>2119</v>
      </c>
      <c r="P100" s="1298"/>
      <c r="Q100" s="1298"/>
      <c r="R100" s="1298"/>
      <c r="S100" s="1298"/>
      <c r="T100" s="1277" t="s">
        <v>2120</v>
      </c>
      <c r="U100" s="1277"/>
      <c r="V100" s="1277"/>
      <c r="W100" s="1277"/>
      <c r="X100" s="1277"/>
      <c r="Y100" s="1284"/>
      <c r="Z100" s="1262" t="s">
        <v>785</v>
      </c>
      <c r="AA100" s="1269"/>
      <c r="AB100" s="1262"/>
      <c r="AC100" s="1262"/>
      <c r="AD100" s="1262"/>
    </row>
    <row r="101" ht="27" customHeight="1">
      <c r="A101" s="1279"/>
      <c r="B101" s="1285">
        <v>84</v>
      </c>
      <c r="C101" s="1277"/>
      <c r="D101" s="1295"/>
      <c r="E101" s="1277"/>
      <c r="F101" s="1277"/>
      <c r="G101" s="1277"/>
      <c r="H101" s="1300"/>
      <c r="I101" s="1297" t="str">
        <f t="shared" si="68"/>
        <v>19.2</v>
      </c>
      <c r="J101" s="1297" t="str">
        <f t="shared" si="69"/>
        <v xml:space="preserve">Информация о показателях энергетической эффективности объектов теплоснабжения</v>
      </c>
      <c r="K101" s="1297" t="str">
        <f t="shared" si="70"/>
        <v xml:space="preserve">Указывается ссылка на документ, предварительно загруженный в хранилище файлов ФГИС ЕИАС.</v>
      </c>
      <c r="L101" s="1283" t="str">
        <f t="shared" si="71"/>
        <v>19.2</v>
      </c>
      <c r="M101" s="1283" t="str">
        <f t="shared" si="72"/>
        <v xml:space="preserve">Информация о показателях энергетической эффективности объектов теплоснабжения</v>
      </c>
      <c r="N101" s="1283" t="str">
        <f t="shared" si="73"/>
        <v xml:space="preserve">Указывается ссылка на документ, предварительно загруженный в хранилище файлов ФГИС ЕИАС.</v>
      </c>
      <c r="O101" s="1298" t="s">
        <v>2121</v>
      </c>
      <c r="P101" s="1298"/>
      <c r="Q101" s="1298"/>
      <c r="R101" s="1298"/>
      <c r="S101" s="1298"/>
      <c r="T101" s="1277" t="s">
        <v>2122</v>
      </c>
      <c r="U101" s="1277"/>
      <c r="V101" s="1277"/>
      <c r="W101" s="1277"/>
      <c r="X101" s="1277"/>
      <c r="Y101" s="1284"/>
      <c r="Z101" s="1262" t="s">
        <v>785</v>
      </c>
      <c r="AA101" s="1269"/>
      <c r="AB101" s="1262"/>
      <c r="AC101" s="1262"/>
      <c r="AD101" s="1262"/>
    </row>
    <row r="102" ht="9" customHeight="1">
      <c r="A102" s="1279"/>
      <c r="B102" s="1279"/>
      <c r="C102" s="1277"/>
      <c r="D102" s="1277"/>
      <c r="E102" s="1277"/>
      <c r="F102" s="1277"/>
      <c r="G102" s="1277"/>
      <c r="H102" s="1300"/>
      <c r="I102" s="1300"/>
      <c r="J102" s="1300"/>
      <c r="K102" s="1300"/>
      <c r="L102" s="1300"/>
      <c r="M102" s="1277"/>
      <c r="N102" s="1305"/>
      <c r="O102" s="1298"/>
      <c r="P102" s="1298"/>
      <c r="Q102" s="1298"/>
      <c r="R102" s="1298"/>
      <c r="S102" s="1277"/>
      <c r="T102" s="1277"/>
      <c r="U102" s="1277"/>
      <c r="V102" s="1277"/>
      <c r="W102" s="1277"/>
      <c r="X102" s="1277"/>
      <c r="Y102" s="1284"/>
      <c r="Z102" s="1262"/>
      <c r="AA102" s="1269"/>
      <c r="AB102" s="1262"/>
      <c r="AC102" s="1262"/>
      <c r="AD102" s="1262"/>
    </row>
    <row r="103" ht="9" customHeight="1">
      <c r="A103" s="1279"/>
      <c r="B103" s="1279"/>
      <c r="C103" s="1277"/>
      <c r="D103" s="1277"/>
      <c r="E103" s="1277"/>
      <c r="F103" s="1277"/>
      <c r="G103" s="1277"/>
      <c r="H103" s="1300"/>
      <c r="I103" s="1300"/>
      <c r="J103" s="1300"/>
      <c r="K103" s="1300"/>
      <c r="L103" s="1300"/>
      <c r="M103" s="1277"/>
      <c r="N103" s="1305"/>
      <c r="O103" s="1298"/>
      <c r="P103" s="1298"/>
      <c r="Q103" s="1298"/>
      <c r="R103" s="1298"/>
      <c r="S103" s="1277"/>
      <c r="T103" s="1277"/>
      <c r="U103" s="1277"/>
      <c r="V103" s="1277"/>
      <c r="W103" s="1277"/>
      <c r="X103" s="1277"/>
      <c r="Y103" s="1284"/>
      <c r="Z103" s="1262"/>
      <c r="AA103" s="1269"/>
      <c r="AB103" s="1262"/>
      <c r="AC103" s="1262"/>
      <c r="AD103" s="1262"/>
    </row>
    <row r="104" ht="9" customHeight="1">
      <c r="A104" s="1279"/>
      <c r="B104" s="1279"/>
      <c r="C104" s="1277"/>
      <c r="D104" s="1277"/>
      <c r="E104" s="1277"/>
      <c r="F104" s="1277"/>
      <c r="G104" s="1277"/>
      <c r="H104" s="1300"/>
      <c r="I104" s="1300"/>
      <c r="J104" s="1300"/>
      <c r="K104" s="1300"/>
      <c r="L104" s="1300"/>
      <c r="M104" s="1277"/>
      <c r="N104" s="1305"/>
      <c r="O104" s="1298"/>
      <c r="P104" s="1298"/>
      <c r="Q104" s="1298"/>
      <c r="R104" s="1298"/>
      <c r="S104" s="1277"/>
      <c r="T104" s="1277"/>
      <c r="U104" s="1277"/>
      <c r="V104" s="1277"/>
      <c r="W104" s="1277"/>
      <c r="X104" s="1277"/>
      <c r="Y104" s="1284"/>
      <c r="Z104" s="1262"/>
      <c r="AA104" s="1269"/>
      <c r="AB104" s="1262"/>
      <c r="AC104" s="1262"/>
      <c r="AD104" s="1262"/>
    </row>
    <row r="105" ht="9" customHeight="1">
      <c r="A105" s="1279"/>
      <c r="B105" s="1279"/>
      <c r="C105" s="1277"/>
      <c r="D105" s="1277"/>
      <c r="E105" s="1277"/>
      <c r="F105" s="1277"/>
      <c r="G105" s="1277"/>
      <c r="H105" s="1300"/>
      <c r="I105" s="1300"/>
      <c r="J105" s="1300"/>
      <c r="K105" s="1300"/>
      <c r="L105" s="1300"/>
      <c r="M105" s="1277"/>
      <c r="N105" s="1305"/>
      <c r="O105" s="1298"/>
      <c r="P105" s="1298"/>
      <c r="Q105" s="1298"/>
      <c r="R105" s="1298"/>
      <c r="S105" s="1277"/>
      <c r="T105" s="1277"/>
      <c r="U105" s="1277"/>
      <c r="V105" s="1277"/>
      <c r="W105" s="1277"/>
      <c r="X105" s="1277"/>
      <c r="Y105" s="1284"/>
      <c r="Z105" s="1262"/>
      <c r="AA105" s="1269"/>
      <c r="AB105" s="1262"/>
      <c r="AC105" s="1262"/>
      <c r="AD105" s="1262"/>
    </row>
    <row r="106" ht="9" customHeight="1">
      <c r="A106" s="1279"/>
      <c r="B106" s="1279"/>
      <c r="C106" s="1277"/>
      <c r="D106" s="1277"/>
      <c r="E106" s="1277"/>
      <c r="F106" s="1277"/>
      <c r="G106" s="1277"/>
      <c r="H106" s="1300"/>
      <c r="I106" s="1300"/>
      <c r="J106" s="1300"/>
      <c r="K106" s="1300"/>
      <c r="L106" s="1300"/>
      <c r="M106" s="1277"/>
      <c r="N106" s="1305"/>
      <c r="O106" s="1298"/>
      <c r="P106" s="1298"/>
      <c r="Q106" s="1298"/>
      <c r="R106" s="1298"/>
      <c r="S106" s="1277"/>
      <c r="T106" s="1277"/>
      <c r="U106" s="1277"/>
      <c r="V106" s="1277"/>
      <c r="W106" s="1277"/>
      <c r="X106" s="1277"/>
      <c r="Y106" s="1284"/>
      <c r="Z106" s="1262"/>
      <c r="AA106" s="1269"/>
      <c r="AB106" s="1262"/>
      <c r="AC106" s="1262"/>
      <c r="AD106" s="1262"/>
    </row>
    <row r="107" ht="9" customHeight="1">
      <c r="A107" s="1279"/>
      <c r="B107" s="1279"/>
      <c r="C107" s="1277"/>
      <c r="D107" s="1277"/>
      <c r="E107" s="1277"/>
      <c r="F107" s="1277"/>
      <c r="G107" s="1277"/>
      <c r="H107" s="1300"/>
      <c r="I107" s="1300"/>
      <c r="J107" s="1300"/>
      <c r="K107" s="1300"/>
      <c r="L107" s="1300"/>
      <c r="M107" s="1277"/>
      <c r="N107" s="1305"/>
      <c r="O107" s="1298"/>
      <c r="P107" s="1298"/>
      <c r="Q107" s="1298"/>
      <c r="R107" s="1298"/>
      <c r="S107" s="1277"/>
      <c r="T107" s="1277"/>
      <c r="U107" s="1277"/>
      <c r="V107" s="1277"/>
      <c r="W107" s="1277"/>
      <c r="X107" s="1277"/>
      <c r="Y107" s="1284"/>
      <c r="Z107" s="1262"/>
      <c r="AA107" s="1269"/>
      <c r="AB107" s="1262"/>
      <c r="AC107" s="1262"/>
      <c r="AD107" s="1262"/>
    </row>
    <row r="108" ht="9" customHeight="1">
      <c r="A108" s="1279"/>
      <c r="B108" s="1279"/>
      <c r="C108" s="1277"/>
      <c r="D108" s="1277"/>
      <c r="E108" s="1277"/>
      <c r="F108" s="1277"/>
      <c r="G108" s="1277"/>
      <c r="H108" s="1300"/>
      <c r="I108" s="1300"/>
      <c r="J108" s="1300"/>
      <c r="K108" s="1300"/>
      <c r="L108" s="1300"/>
      <c r="M108" s="1277"/>
      <c r="N108" s="1305"/>
      <c r="O108" s="1298"/>
      <c r="P108" s="1298"/>
      <c r="Q108" s="1298"/>
      <c r="R108" s="1298"/>
      <c r="S108" s="1277"/>
      <c r="T108" s="1277"/>
      <c r="U108" s="1277"/>
      <c r="V108" s="1277"/>
      <c r="W108" s="1277"/>
      <c r="X108" s="1277"/>
      <c r="Y108" s="1284"/>
      <c r="Z108" s="1262"/>
      <c r="AA108" s="1269"/>
      <c r="AB108" s="1262"/>
      <c r="AC108" s="1262"/>
      <c r="AD108" s="1262"/>
    </row>
    <row r="109" ht="9" customHeight="1">
      <c r="A109" s="1279"/>
      <c r="B109" s="1279"/>
      <c r="C109" s="1277"/>
      <c r="D109" s="1277"/>
      <c r="E109" s="1277"/>
      <c r="F109" s="1277"/>
      <c r="G109" s="1277"/>
      <c r="H109" s="1300"/>
      <c r="I109" s="1300"/>
      <c r="J109" s="1300"/>
      <c r="K109" s="1300"/>
      <c r="L109" s="1300"/>
      <c r="M109" s="1277"/>
      <c r="N109" s="1305"/>
      <c r="O109" s="1298"/>
      <c r="P109" s="1298"/>
      <c r="Q109" s="1298"/>
      <c r="R109" s="1298"/>
      <c r="S109" s="1277"/>
      <c r="T109" s="1277"/>
      <c r="U109" s="1277"/>
      <c r="V109" s="1277"/>
      <c r="W109" s="1277"/>
      <c r="X109" s="1277"/>
      <c r="Y109" s="1284"/>
      <c r="Z109" s="1262"/>
      <c r="AA109" s="1269"/>
      <c r="AB109" s="1262"/>
      <c r="AC109" s="1262"/>
      <c r="AD109" s="1262"/>
    </row>
    <row r="110" ht="9" customHeight="1">
      <c r="A110" s="1279"/>
      <c r="B110" s="1279"/>
      <c r="C110" s="1277"/>
      <c r="D110" s="1277"/>
      <c r="E110" s="1277"/>
      <c r="F110" s="1277"/>
      <c r="G110" s="1277"/>
      <c r="H110" s="1300"/>
      <c r="I110" s="1300"/>
      <c r="J110" s="1300"/>
      <c r="K110" s="1300"/>
      <c r="L110" s="1300"/>
      <c r="M110" s="1277"/>
      <c r="N110" s="1305"/>
      <c r="O110" s="1298"/>
      <c r="P110" s="1298"/>
      <c r="Q110" s="1298"/>
      <c r="R110" s="1298"/>
      <c r="S110" s="1277"/>
      <c r="T110" s="1277"/>
      <c r="U110" s="1277"/>
      <c r="V110" s="1277"/>
      <c r="W110" s="1277"/>
      <c r="X110" s="1277"/>
      <c r="Y110" s="1284"/>
      <c r="Z110" s="1262"/>
      <c r="AA110" s="1269"/>
      <c r="AB110" s="1262"/>
      <c r="AC110" s="1262"/>
      <c r="AD110" s="1262"/>
    </row>
    <row r="111" ht="9" customHeight="1">
      <c r="A111" s="1279"/>
      <c r="B111" s="1279"/>
      <c r="C111" s="1277"/>
      <c r="D111" s="1277"/>
      <c r="E111" s="1277"/>
      <c r="F111" s="1277"/>
      <c r="G111" s="1277"/>
      <c r="H111" s="1300"/>
      <c r="I111" s="1300"/>
      <c r="J111" s="1300"/>
      <c r="K111" s="1300"/>
      <c r="L111" s="1300"/>
      <c r="M111" s="1277"/>
      <c r="N111" s="1305"/>
      <c r="O111" s="1298"/>
      <c r="P111" s="1298"/>
      <c r="Q111" s="1298"/>
      <c r="R111" s="1298"/>
      <c r="S111" s="1277"/>
      <c r="T111" s="1277"/>
      <c r="U111" s="1277"/>
      <c r="V111" s="1277"/>
      <c r="W111" s="1277"/>
      <c r="X111" s="1277"/>
      <c r="Y111" s="1284"/>
      <c r="Z111" s="1262"/>
      <c r="AA111" s="1269"/>
      <c r="AB111" s="1262"/>
      <c r="AC111" s="1262"/>
      <c r="AD111" s="1262"/>
    </row>
    <row r="112" ht="9" customHeight="1">
      <c r="A112" s="1279"/>
      <c r="B112" s="1279"/>
      <c r="C112" s="1277"/>
      <c r="D112" s="1277"/>
      <c r="E112" s="1277"/>
      <c r="F112" s="1277"/>
      <c r="G112" s="1277"/>
      <c r="H112" s="1300"/>
      <c r="I112" s="1300"/>
      <c r="J112" s="1300"/>
      <c r="K112" s="1300"/>
      <c r="L112" s="1300"/>
      <c r="M112" s="1277"/>
      <c r="N112" s="1305"/>
      <c r="O112" s="1298"/>
      <c r="P112" s="1298"/>
      <c r="Q112" s="1298"/>
      <c r="R112" s="1298"/>
      <c r="S112" s="1277"/>
      <c r="T112" s="1277"/>
      <c r="U112" s="1277"/>
      <c r="V112" s="1277"/>
      <c r="W112" s="1277"/>
      <c r="X112" s="1277"/>
      <c r="Y112" s="1284"/>
      <c r="Z112" s="1262"/>
      <c r="AA112" s="1269"/>
      <c r="AB112" s="1262"/>
      <c r="AC112" s="1262"/>
      <c r="AD112" s="1262"/>
    </row>
    <row r="113" ht="9" customHeight="1">
      <c r="A113" s="1279"/>
      <c r="B113" s="1279"/>
      <c r="C113" s="1277"/>
      <c r="D113" s="1277"/>
      <c r="E113" s="1277"/>
      <c r="F113" s="1277"/>
      <c r="G113" s="1277"/>
      <c r="H113" s="1300"/>
      <c r="I113" s="1300"/>
      <c r="J113" s="1300"/>
      <c r="K113" s="1300"/>
      <c r="L113" s="1300"/>
      <c r="M113" s="1277"/>
      <c r="N113" s="1305"/>
      <c r="O113" s="1298"/>
      <c r="P113" s="1298"/>
      <c r="Q113" s="1298"/>
      <c r="R113" s="1298"/>
      <c r="S113" s="1277"/>
      <c r="T113" s="1277"/>
      <c r="U113" s="1277"/>
      <c r="V113" s="1277"/>
      <c r="W113" s="1277"/>
      <c r="X113" s="1277"/>
      <c r="Y113" s="1284"/>
      <c r="Z113" s="1262"/>
      <c r="AA113" s="1269"/>
      <c r="AB113" s="1262"/>
      <c r="AC113" s="1262"/>
      <c r="AD113" s="1262"/>
    </row>
    <row r="114" ht="9" customHeight="1">
      <c r="A114" s="1279"/>
      <c r="B114" s="1279"/>
      <c r="C114" s="1277"/>
      <c r="D114" s="1277"/>
      <c r="E114" s="1277"/>
      <c r="F114" s="1277"/>
      <c r="G114" s="1277"/>
      <c r="H114" s="1300"/>
      <c r="I114" s="1300"/>
      <c r="J114" s="1300"/>
      <c r="K114" s="1300"/>
      <c r="L114" s="1300"/>
      <c r="M114" s="1277"/>
      <c r="N114" s="1305"/>
      <c r="O114" s="1298"/>
      <c r="P114" s="1298"/>
      <c r="Q114" s="1298"/>
      <c r="R114" s="1298"/>
      <c r="S114" s="1277"/>
      <c r="T114" s="1277"/>
      <c r="U114" s="1277"/>
      <c r="V114" s="1277"/>
      <c r="W114" s="1277"/>
      <c r="X114" s="1277"/>
      <c r="Y114" s="1284"/>
      <c r="Z114" s="1262"/>
      <c r="AA114" s="1269"/>
      <c r="AB114" s="1262"/>
      <c r="AC114" s="1262"/>
      <c r="AD114" s="1262"/>
    </row>
    <row r="115" ht="9" customHeight="1">
      <c r="A115" s="1279"/>
      <c r="B115" s="1279"/>
      <c r="C115" s="1277"/>
      <c r="D115" s="1277"/>
      <c r="E115" s="1277"/>
      <c r="F115" s="1277"/>
      <c r="G115" s="1277"/>
      <c r="H115" s="1300"/>
      <c r="I115" s="1300"/>
      <c r="J115" s="1300"/>
      <c r="K115" s="1300"/>
      <c r="L115" s="1300"/>
      <c r="M115" s="1277"/>
      <c r="N115" s="1305"/>
      <c r="O115" s="1298"/>
      <c r="P115" s="1298"/>
      <c r="Q115" s="1298"/>
      <c r="R115" s="1298"/>
      <c r="S115" s="1277"/>
      <c r="T115" s="1277"/>
      <c r="U115" s="1277"/>
      <c r="V115" s="1277"/>
      <c r="W115" s="1277"/>
      <c r="X115" s="1277"/>
      <c r="Y115" s="1284"/>
      <c r="Z115" s="1262"/>
      <c r="AA115" s="1269"/>
      <c r="AB115" s="1262"/>
      <c r="AC115" s="1262"/>
      <c r="AD115" s="1262"/>
    </row>
    <row r="116" ht="9" customHeight="1">
      <c r="A116" s="1279"/>
      <c r="B116" s="1279"/>
      <c r="C116" s="1277"/>
      <c r="D116" s="1277"/>
      <c r="E116" s="1277"/>
      <c r="F116" s="1277"/>
      <c r="G116" s="1277"/>
      <c r="H116" s="1300"/>
      <c r="I116" s="1300"/>
      <c r="J116" s="1300"/>
      <c r="K116" s="1300"/>
      <c r="L116" s="1300"/>
      <c r="M116" s="1277"/>
      <c r="N116" s="1305"/>
      <c r="O116" s="1298"/>
      <c r="P116" s="1298"/>
      <c r="Q116" s="1298"/>
      <c r="R116" s="1298"/>
      <c r="S116" s="1277"/>
      <c r="T116" s="1277"/>
      <c r="U116" s="1277"/>
      <c r="V116" s="1277"/>
      <c r="W116" s="1277"/>
      <c r="X116" s="1277"/>
      <c r="Y116" s="1284"/>
      <c r="Z116" s="1262"/>
      <c r="AA116" s="1269"/>
      <c r="AB116" s="1262"/>
      <c r="AC116" s="1262"/>
      <c r="AD116" s="1262"/>
    </row>
    <row r="117" ht="9" customHeight="1">
      <c r="A117" s="1279"/>
      <c r="B117" s="1279"/>
      <c r="C117" s="1277"/>
      <c r="D117" s="1277"/>
      <c r="E117" s="1277"/>
      <c r="F117" s="1277"/>
      <c r="G117" s="1277"/>
      <c r="H117" s="1300"/>
      <c r="I117" s="1300"/>
      <c r="J117" s="1300"/>
      <c r="K117" s="1300"/>
      <c r="L117" s="1300"/>
      <c r="M117" s="1277"/>
      <c r="N117" s="1305"/>
      <c r="O117" s="1298"/>
      <c r="P117" s="1298"/>
      <c r="Q117" s="1298"/>
      <c r="R117" s="1298"/>
      <c r="S117" s="1277"/>
      <c r="T117" s="1277"/>
      <c r="U117" s="1277"/>
      <c r="V117" s="1277"/>
      <c r="W117" s="1277"/>
      <c r="X117" s="1277"/>
      <c r="Y117" s="1284"/>
      <c r="Z117" s="1262"/>
      <c r="AA117" s="1269"/>
      <c r="AB117" s="1262"/>
      <c r="AC117" s="1262"/>
      <c r="AD117" s="1262"/>
    </row>
    <row r="118" ht="9" customHeight="1">
      <c r="A118" s="1279"/>
      <c r="B118" s="1279"/>
      <c r="C118" s="1277"/>
      <c r="D118" s="1277"/>
      <c r="E118" s="1277"/>
      <c r="F118" s="1277"/>
      <c r="G118" s="1277"/>
      <c r="H118" s="1300"/>
      <c r="I118" s="1300"/>
      <c r="J118" s="1300"/>
      <c r="K118" s="1300"/>
      <c r="L118" s="1300"/>
      <c r="M118" s="1277"/>
      <c r="N118" s="1305"/>
      <c r="O118" s="1298"/>
      <c r="P118" s="1298"/>
      <c r="Q118" s="1298"/>
      <c r="R118" s="1298"/>
      <c r="S118" s="1277"/>
      <c r="T118" s="1277"/>
      <c r="U118" s="1277"/>
      <c r="V118" s="1277"/>
      <c r="W118" s="1277"/>
      <c r="X118" s="1277"/>
      <c r="Y118" s="1284"/>
      <c r="Z118" s="1262"/>
      <c r="AA118" s="1269"/>
      <c r="AB118" s="1262"/>
      <c r="AC118" s="1262"/>
      <c r="AD118" s="1262"/>
    </row>
    <row r="119" ht="9" customHeight="1">
      <c r="A119" s="1279"/>
      <c r="B119" s="1279"/>
      <c r="C119" s="1277"/>
      <c r="D119" s="1277"/>
      <c r="E119" s="1277"/>
      <c r="F119" s="1277"/>
      <c r="G119" s="1277"/>
      <c r="H119" s="1300"/>
      <c r="I119" s="1300"/>
      <c r="J119" s="1300"/>
      <c r="K119" s="1300"/>
      <c r="L119" s="1300"/>
      <c r="M119" s="1277"/>
      <c r="N119" s="1305"/>
      <c r="O119" s="1298"/>
      <c r="P119" s="1298"/>
      <c r="Q119" s="1298"/>
      <c r="R119" s="1298"/>
      <c r="S119" s="1277"/>
      <c r="T119" s="1277"/>
      <c r="U119" s="1277"/>
      <c r="V119" s="1277"/>
      <c r="W119" s="1277"/>
      <c r="X119" s="1277"/>
      <c r="Y119" s="1284"/>
      <c r="Z119" s="1262"/>
      <c r="AA119" s="1269"/>
      <c r="AB119" s="1262"/>
      <c r="AC119" s="1262"/>
      <c r="AD119" s="1262"/>
    </row>
    <row r="120" ht="9" customHeight="1">
      <c r="A120" s="1279"/>
      <c r="B120" s="1279"/>
      <c r="C120" s="1277"/>
      <c r="D120" s="1277"/>
      <c r="E120" s="1277"/>
      <c r="F120" s="1277"/>
      <c r="G120" s="1277"/>
      <c r="H120" s="1300"/>
      <c r="I120" s="1300"/>
      <c r="J120" s="1300"/>
      <c r="K120" s="1300"/>
      <c r="L120" s="1300"/>
      <c r="M120" s="1277"/>
      <c r="N120" s="1305"/>
      <c r="O120" s="1298"/>
      <c r="P120" s="1298"/>
      <c r="Q120" s="1298"/>
      <c r="R120" s="1298"/>
      <c r="S120" s="1277"/>
      <c r="T120" s="1277"/>
      <c r="U120" s="1277"/>
      <c r="V120" s="1277"/>
      <c r="W120" s="1277"/>
      <c r="X120" s="1277"/>
      <c r="Y120" s="1284"/>
      <c r="Z120" s="1262"/>
      <c r="AA120" s="1269"/>
      <c r="AB120" s="1262"/>
      <c r="AC120" s="1262"/>
      <c r="AD120" s="1262"/>
    </row>
    <row r="121" ht="9" customHeight="1">
      <c r="A121" s="1279"/>
      <c r="B121" s="1279"/>
      <c r="C121" s="1277"/>
      <c r="D121" s="1277"/>
      <c r="E121" s="1277"/>
      <c r="F121" s="1277"/>
      <c r="G121" s="1277"/>
      <c r="H121" s="1300"/>
      <c r="I121" s="1300"/>
      <c r="J121" s="1300"/>
      <c r="K121" s="1300"/>
      <c r="L121" s="1300"/>
      <c r="M121" s="1277"/>
      <c r="N121" s="1305"/>
      <c r="O121" s="1298"/>
      <c r="P121" s="1298"/>
      <c r="Q121" s="1298"/>
      <c r="R121" s="1298"/>
      <c r="S121" s="1277"/>
      <c r="T121" s="1277"/>
      <c r="U121" s="1277"/>
      <c r="V121" s="1277"/>
      <c r="W121" s="1277"/>
      <c r="X121" s="1277"/>
      <c r="Y121" s="1284"/>
      <c r="Z121" s="1262"/>
      <c r="AA121" s="1269"/>
      <c r="AB121" s="1262"/>
      <c r="AC121" s="1262"/>
      <c r="AD121" s="1262"/>
    </row>
    <row r="122" ht="9" customHeight="1">
      <c r="A122" s="1279"/>
      <c r="B122" s="1279"/>
      <c r="C122" s="1277"/>
      <c r="D122" s="1277"/>
      <c r="E122" s="1277"/>
      <c r="F122" s="1277"/>
      <c r="G122" s="1277"/>
      <c r="H122" s="1300"/>
      <c r="I122" s="1300"/>
      <c r="J122" s="1300"/>
      <c r="K122" s="1300"/>
      <c r="L122" s="1300"/>
      <c r="M122" s="1277"/>
      <c r="N122" s="1305"/>
      <c r="O122" s="1298"/>
      <c r="P122" s="1298"/>
      <c r="Q122" s="1298"/>
      <c r="R122" s="1298"/>
      <c r="S122" s="1277"/>
      <c r="T122" s="1277"/>
      <c r="U122" s="1277"/>
      <c r="V122" s="1277"/>
      <c r="W122" s="1277"/>
      <c r="X122" s="1277"/>
      <c r="Y122" s="1284"/>
      <c r="Z122" s="1262"/>
      <c r="AA122" s="1269"/>
      <c r="AB122" s="1262"/>
      <c r="AC122" s="1262"/>
      <c r="AD122" s="1262"/>
    </row>
    <row r="123" ht="9" customHeight="1">
      <c r="A123" s="1279"/>
      <c r="B123" s="1279"/>
      <c r="C123" s="1277"/>
      <c r="D123" s="1277"/>
      <c r="E123" s="1277"/>
      <c r="F123" s="1277"/>
      <c r="G123" s="1277"/>
      <c r="H123" s="1300"/>
      <c r="I123" s="1300"/>
      <c r="J123" s="1300"/>
      <c r="K123" s="1300"/>
      <c r="L123" s="1300"/>
      <c r="M123" s="1277"/>
      <c r="N123" s="1305"/>
      <c r="O123" s="1298"/>
      <c r="P123" s="1298"/>
      <c r="Q123" s="1298"/>
      <c r="R123" s="1298"/>
      <c r="S123" s="1277"/>
      <c r="T123" s="1277"/>
      <c r="U123" s="1277"/>
      <c r="V123" s="1277"/>
      <c r="W123" s="1277"/>
      <c r="X123" s="1277"/>
      <c r="Y123" s="1284"/>
      <c r="Z123" s="1262"/>
      <c r="AA123" s="1269"/>
      <c r="AB123" s="1262"/>
      <c r="AC123" s="1262"/>
      <c r="AD123" s="1262"/>
    </row>
    <row r="124" ht="9" customHeight="1">
      <c r="A124" s="1279"/>
      <c r="B124" s="1279"/>
      <c r="C124" s="1277"/>
      <c r="D124" s="1277"/>
      <c r="E124" s="1277"/>
      <c r="F124" s="1277"/>
      <c r="G124" s="1277"/>
      <c r="H124" s="1300"/>
      <c r="I124" s="1300"/>
      <c r="J124" s="1300"/>
      <c r="K124" s="1300"/>
      <c r="L124" s="1300"/>
      <c r="M124" s="1277"/>
      <c r="N124" s="1305"/>
      <c r="O124" s="1298"/>
      <c r="P124" s="1298"/>
      <c r="Q124" s="1298"/>
      <c r="R124" s="1298"/>
      <c r="S124" s="1277"/>
      <c r="T124" s="1277"/>
      <c r="U124" s="1277"/>
      <c r="V124" s="1277"/>
      <c r="W124" s="1277"/>
      <c r="X124" s="1277"/>
      <c r="Y124" s="1284"/>
      <c r="Z124" s="1262"/>
      <c r="AA124" s="1269"/>
      <c r="AB124" s="1262"/>
      <c r="AC124" s="1262"/>
      <c r="AD124" s="1262"/>
    </row>
    <row r="125" ht="9" customHeight="1">
      <c r="A125" s="1279"/>
      <c r="B125" s="1279"/>
      <c r="C125" s="1277"/>
      <c r="D125" s="1277"/>
      <c r="E125" s="1277"/>
      <c r="F125" s="1277"/>
      <c r="G125" s="1277"/>
      <c r="H125" s="1300"/>
      <c r="I125" s="1300"/>
      <c r="J125" s="1300"/>
      <c r="K125" s="1300"/>
      <c r="L125" s="1300"/>
      <c r="M125" s="1277"/>
      <c r="N125" s="1305"/>
      <c r="O125" s="1298"/>
      <c r="P125" s="1298"/>
      <c r="Q125" s="1298"/>
      <c r="R125" s="1298"/>
      <c r="S125" s="1277"/>
      <c r="T125" s="1277"/>
      <c r="U125" s="1277"/>
      <c r="V125" s="1277"/>
      <c r="W125" s="1277"/>
      <c r="X125" s="1277"/>
      <c r="Y125" s="1284"/>
      <c r="Z125" s="1262"/>
      <c r="AA125" s="1269"/>
      <c r="AB125" s="1262"/>
      <c r="AC125" s="1262"/>
      <c r="AD125" s="1262"/>
    </row>
    <row r="126" ht="9" customHeight="1">
      <c r="A126" s="1279"/>
      <c r="B126" s="1279"/>
      <c r="C126" s="1277"/>
      <c r="D126" s="1277"/>
      <c r="E126" s="1277"/>
      <c r="F126" s="1277"/>
      <c r="G126" s="1277"/>
      <c r="H126" s="1300"/>
      <c r="I126" s="1300"/>
      <c r="J126" s="1300"/>
      <c r="K126" s="1300"/>
      <c r="L126" s="1300"/>
      <c r="M126" s="1277"/>
      <c r="N126" s="1305"/>
      <c r="O126" s="1298"/>
      <c r="P126" s="1298"/>
      <c r="Q126" s="1298"/>
      <c r="R126" s="1298"/>
      <c r="S126" s="1277"/>
      <c r="T126" s="1277"/>
      <c r="U126" s="1277"/>
      <c r="V126" s="1277"/>
      <c r="W126" s="1277"/>
      <c r="X126" s="1277"/>
      <c r="Y126" s="1284"/>
      <c r="Z126" s="1262"/>
      <c r="AA126" s="1269"/>
      <c r="AB126" s="1262"/>
      <c r="AC126" s="1262"/>
      <c r="AD126" s="1262"/>
    </row>
    <row r="127" ht="9" customHeight="1">
      <c r="A127" s="1279"/>
      <c r="B127" s="1279"/>
      <c r="C127" s="1277"/>
      <c r="D127" s="1277"/>
      <c r="E127" s="1277"/>
      <c r="F127" s="1277"/>
      <c r="G127" s="1277"/>
      <c r="H127" s="1300"/>
      <c r="I127" s="1300"/>
      <c r="J127" s="1300"/>
      <c r="K127" s="1300"/>
      <c r="L127" s="1300"/>
      <c r="M127" s="1277"/>
      <c r="N127" s="1305"/>
      <c r="O127" s="1298"/>
      <c r="P127" s="1298"/>
      <c r="Q127" s="1298"/>
      <c r="R127" s="1298"/>
      <c r="S127" s="1277"/>
      <c r="T127" s="1277"/>
      <c r="U127" s="1277"/>
      <c r="V127" s="1277"/>
      <c r="W127" s="1277"/>
      <c r="X127" s="1277"/>
      <c r="Y127" s="1284"/>
      <c r="Z127" s="1262"/>
      <c r="AA127" s="1269"/>
      <c r="AB127" s="1262"/>
      <c r="AC127" s="1262"/>
      <c r="AD127" s="1262"/>
    </row>
    <row r="128" ht="9" customHeight="1">
      <c r="A128" s="1279"/>
      <c r="B128" s="1279"/>
      <c r="C128" s="1277"/>
      <c r="D128" s="1277"/>
      <c r="E128" s="1277"/>
      <c r="F128" s="1277"/>
      <c r="G128" s="1277"/>
      <c r="H128" s="1300"/>
      <c r="I128" s="1300"/>
      <c r="J128" s="1300"/>
      <c r="K128" s="1300"/>
      <c r="L128" s="1300"/>
      <c r="M128" s="1277"/>
      <c r="N128" s="1305"/>
      <c r="O128" s="1298"/>
      <c r="P128" s="1298"/>
      <c r="Q128" s="1298"/>
      <c r="R128" s="1298"/>
      <c r="S128" s="1277"/>
      <c r="T128" s="1277"/>
      <c r="U128" s="1277"/>
      <c r="V128" s="1277"/>
      <c r="W128" s="1277"/>
      <c r="X128" s="1277"/>
      <c r="Y128" s="1284"/>
      <c r="Z128" s="1262"/>
      <c r="AA128" s="1269"/>
      <c r="AB128" s="1262"/>
      <c r="AC128" s="1262"/>
      <c r="AD128" s="1262"/>
    </row>
    <row r="129" ht="9" customHeight="1">
      <c r="A129" s="1279"/>
      <c r="B129" s="1279"/>
      <c r="C129" s="1277"/>
      <c r="D129" s="1277"/>
      <c r="E129" s="1277"/>
      <c r="F129" s="1277"/>
      <c r="G129" s="1277"/>
      <c r="H129" s="1300"/>
      <c r="I129" s="1300"/>
      <c r="J129" s="1300"/>
      <c r="K129" s="1300"/>
      <c r="L129" s="1300"/>
      <c r="M129" s="1277"/>
      <c r="N129" s="1305"/>
      <c r="O129" s="1298"/>
      <c r="P129" s="1298"/>
      <c r="Q129" s="1298"/>
      <c r="R129" s="1298"/>
      <c r="S129" s="1277"/>
      <c r="T129" s="1277"/>
      <c r="U129" s="1277"/>
      <c r="V129" s="1277"/>
      <c r="W129" s="1277"/>
      <c r="X129" s="1277"/>
      <c r="Y129" s="1284"/>
      <c r="Z129" s="1262"/>
      <c r="AA129" s="1269"/>
      <c r="AB129" s="1262"/>
      <c r="AC129" s="1262"/>
      <c r="AD129" s="1262"/>
    </row>
    <row r="130" ht="9" customHeight="1">
      <c r="A130" s="1279"/>
      <c r="B130" s="1279"/>
      <c r="C130" s="1277"/>
      <c r="D130" s="1277"/>
      <c r="E130" s="1277"/>
      <c r="F130" s="1277"/>
      <c r="G130" s="1277"/>
      <c r="H130" s="1300"/>
      <c r="I130" s="1300"/>
      <c r="J130" s="1300"/>
      <c r="K130" s="1300"/>
      <c r="L130" s="1300"/>
      <c r="M130" s="1277"/>
      <c r="N130" s="1305"/>
      <c r="O130" s="1306"/>
      <c r="P130" s="1306"/>
      <c r="Q130" s="1306"/>
      <c r="R130" s="1306"/>
      <c r="S130" s="1277"/>
      <c r="T130" s="1277"/>
      <c r="U130" s="1277"/>
      <c r="V130" s="1277"/>
      <c r="W130" s="1277"/>
      <c r="X130" s="1277"/>
      <c r="Y130" s="1284"/>
      <c r="Z130" s="1262"/>
      <c r="AA130" s="1269"/>
      <c r="AB130" s="1262"/>
      <c r="AC130" s="1262"/>
      <c r="AD130" s="1262"/>
    </row>
    <row r="131" ht="9" customHeight="1">
      <c r="A131" s="1279"/>
      <c r="B131" s="1279"/>
      <c r="C131" s="1277"/>
      <c r="D131" s="1277"/>
      <c r="E131" s="1277"/>
      <c r="F131" s="1277"/>
      <c r="G131" s="1277"/>
      <c r="H131" s="1300"/>
      <c r="I131" s="1300"/>
      <c r="J131" s="1300"/>
      <c r="K131" s="1300"/>
      <c r="L131" s="1300"/>
      <c r="M131" s="1277"/>
      <c r="N131" s="1305"/>
      <c r="O131" s="1307"/>
      <c r="P131" s="1307"/>
      <c r="Q131" s="1307"/>
      <c r="R131" s="1307"/>
      <c r="S131" s="1277"/>
      <c r="T131" s="1277"/>
      <c r="U131" s="1277"/>
      <c r="V131" s="1277"/>
      <c r="W131" s="1277"/>
      <c r="X131" s="1277"/>
      <c r="Y131" s="1284"/>
      <c r="Z131" s="1262"/>
      <c r="AA131" s="1269"/>
      <c r="AB131" s="1262"/>
      <c r="AC131" s="1262"/>
      <c r="AD131" s="1262"/>
    </row>
    <row r="132" ht="9" customHeight="1">
      <c r="A132" s="1279"/>
      <c r="B132" s="1279"/>
      <c r="C132" s="1277"/>
      <c r="D132" s="1277"/>
      <c r="E132" s="1277"/>
      <c r="F132" s="1277"/>
      <c r="G132" s="1277"/>
      <c r="H132" s="1300"/>
      <c r="I132" s="1300"/>
      <c r="J132" s="1300"/>
      <c r="K132" s="1300"/>
      <c r="L132" s="1300"/>
      <c r="M132" s="1277"/>
      <c r="N132" s="1305"/>
      <c r="O132" s="1306"/>
      <c r="P132" s="1306"/>
      <c r="Q132" s="1306"/>
      <c r="R132" s="1306"/>
      <c r="S132" s="1277"/>
      <c r="T132" s="1277"/>
      <c r="U132" s="1277"/>
      <c r="V132" s="1277"/>
      <c r="W132" s="1277"/>
      <c r="X132" s="1277"/>
      <c r="Y132" s="1284"/>
      <c r="Z132" s="1262"/>
      <c r="AA132" s="1269"/>
      <c r="AB132" s="1262"/>
      <c r="AC132" s="1262"/>
      <c r="AD132" s="1262"/>
    </row>
    <row r="133" ht="9" customHeight="1">
      <c r="A133" s="1279"/>
      <c r="B133" s="1279"/>
      <c r="C133" s="1277"/>
      <c r="D133" s="1277"/>
      <c r="E133" s="1277"/>
      <c r="F133" s="1277"/>
      <c r="G133" s="1277"/>
      <c r="H133" s="1300"/>
      <c r="I133" s="1300"/>
      <c r="J133" s="1300"/>
      <c r="K133" s="1300"/>
      <c r="L133" s="1300"/>
      <c r="M133" s="1277"/>
      <c r="N133" s="1305"/>
      <c r="O133" s="1307"/>
      <c r="P133" s="1307"/>
      <c r="Q133" s="1307"/>
      <c r="R133" s="1307"/>
      <c r="S133" s="1277"/>
      <c r="T133" s="1277"/>
      <c r="U133" s="1277"/>
      <c r="V133" s="1277"/>
      <c r="W133" s="1277"/>
      <c r="X133" s="1277"/>
      <c r="Y133" s="1284"/>
      <c r="Z133" s="1262"/>
      <c r="AA133" s="1269"/>
      <c r="AB133" s="1262"/>
      <c r="AC133" s="1262"/>
      <c r="AD133" s="1262"/>
    </row>
    <row r="134" ht="9" customHeight="1">
      <c r="A134" s="1279"/>
      <c r="B134" s="1279"/>
      <c r="C134" s="1277"/>
      <c r="D134" s="1277"/>
      <c r="E134" s="1277"/>
      <c r="F134" s="1277"/>
      <c r="G134" s="1277"/>
      <c r="H134" s="1300"/>
      <c r="I134" s="1300"/>
      <c r="J134" s="1300"/>
      <c r="K134" s="1300"/>
      <c r="L134" s="1300"/>
      <c r="M134" s="1277"/>
      <c r="N134" s="1305"/>
      <c r="O134" s="1298"/>
      <c r="P134" s="1298"/>
      <c r="Q134" s="1298"/>
      <c r="R134" s="1298"/>
      <c r="S134" s="1277"/>
      <c r="T134" s="1277"/>
      <c r="U134" s="1277"/>
      <c r="V134" s="1277"/>
      <c r="W134" s="1277"/>
      <c r="X134" s="1277"/>
      <c r="Y134" s="1284"/>
      <c r="Z134" s="1262"/>
      <c r="AA134" s="1269"/>
      <c r="AB134" s="1262"/>
      <c r="AC134" s="1262"/>
      <c r="AD134" s="1262"/>
    </row>
    <row r="135" ht="9" customHeight="1">
      <c r="A135" s="1279"/>
      <c r="B135" s="1279"/>
      <c r="C135" s="1277"/>
      <c r="D135" s="1277"/>
      <c r="E135" s="1277"/>
      <c r="F135" s="1277"/>
      <c r="G135" s="1277"/>
      <c r="H135" s="1300"/>
      <c r="I135" s="1300"/>
      <c r="J135" s="1300"/>
      <c r="K135" s="1300"/>
      <c r="L135" s="1300"/>
      <c r="M135" s="1277"/>
      <c r="N135" s="1305"/>
      <c r="O135" s="1298"/>
      <c r="P135" s="1298"/>
      <c r="Q135" s="1298"/>
      <c r="R135" s="1298"/>
      <c r="S135" s="1277"/>
      <c r="T135" s="1277"/>
      <c r="U135" s="1277"/>
      <c r="V135" s="1277"/>
      <c r="W135" s="1277"/>
      <c r="X135" s="1277"/>
      <c r="Y135" s="1284"/>
      <c r="Z135" s="1262"/>
      <c r="AA135" s="1269"/>
      <c r="AB135" s="1262"/>
      <c r="AC135" s="1262"/>
      <c r="AD135" s="1262"/>
    </row>
    <row r="136" ht="9" customHeight="1">
      <c r="A136" s="1279"/>
      <c r="B136" s="1279"/>
      <c r="C136" s="1277"/>
      <c r="D136" s="1277"/>
      <c r="E136" s="1277"/>
      <c r="F136" s="1277"/>
      <c r="G136" s="1277"/>
      <c r="H136" s="1300"/>
      <c r="I136" s="1300"/>
      <c r="J136" s="1300"/>
      <c r="K136" s="1300"/>
      <c r="L136" s="1300"/>
      <c r="M136" s="1277"/>
      <c r="N136" s="1305"/>
      <c r="O136" s="1298"/>
      <c r="P136" s="1298"/>
      <c r="Q136" s="1298"/>
      <c r="R136" s="1298"/>
      <c r="S136" s="1277"/>
      <c r="T136" s="1277"/>
      <c r="U136" s="1277"/>
      <c r="V136" s="1277"/>
      <c r="W136" s="1277"/>
      <c r="X136" s="1277"/>
      <c r="Y136" s="1284"/>
      <c r="Z136" s="1262"/>
      <c r="AA136" s="1269"/>
      <c r="AB136" s="1262"/>
      <c r="AC136" s="1262"/>
      <c r="AD136" s="1262"/>
    </row>
    <row r="137" ht="9" customHeight="1">
      <c r="A137" s="1279"/>
      <c r="B137" s="1279"/>
      <c r="C137" s="1277"/>
      <c r="D137" s="1277"/>
      <c r="E137" s="1277"/>
      <c r="F137" s="1277"/>
      <c r="G137" s="1277"/>
      <c r="H137" s="1300"/>
      <c r="I137" s="1300"/>
      <c r="J137" s="1300"/>
      <c r="K137" s="1300"/>
      <c r="L137" s="1300"/>
      <c r="M137" s="1277"/>
      <c r="N137" s="1305"/>
      <c r="O137" s="1308"/>
      <c r="P137" s="1308"/>
      <c r="Q137" s="1308"/>
      <c r="R137" s="1308"/>
      <c r="S137" s="1277"/>
      <c r="T137" s="1277"/>
      <c r="U137" s="1277"/>
      <c r="V137" s="1277"/>
      <c r="W137" s="1277"/>
      <c r="X137" s="1277"/>
      <c r="Y137" s="1284"/>
      <c r="Z137" s="1262"/>
      <c r="AA137" s="1269"/>
      <c r="AB137" s="1262"/>
      <c r="AC137" s="1262"/>
      <c r="AD137" s="1262"/>
    </row>
    <row r="138" ht="9" customHeight="1">
      <c r="A138" s="1279"/>
      <c r="B138" s="1279"/>
      <c r="C138" s="1277"/>
      <c r="D138" s="1277"/>
      <c r="E138" s="1277"/>
      <c r="F138" s="1277"/>
      <c r="G138" s="1277"/>
      <c r="H138" s="1300"/>
      <c r="I138" s="1300"/>
      <c r="J138" s="1300"/>
      <c r="K138" s="1300"/>
      <c r="L138" s="1300"/>
      <c r="M138" s="1277"/>
      <c r="N138" s="1305"/>
      <c r="O138" s="1301"/>
      <c r="P138" s="1301"/>
      <c r="Q138" s="1301"/>
      <c r="R138" s="1301"/>
      <c r="S138" s="1277"/>
      <c r="T138" s="1277"/>
      <c r="U138" s="1277"/>
      <c r="V138" s="1277"/>
      <c r="W138" s="1277"/>
      <c r="X138" s="1277"/>
      <c r="Y138" s="1284"/>
      <c r="Z138" s="1262"/>
      <c r="AA138" s="1269"/>
      <c r="AB138" s="1262"/>
      <c r="AC138" s="1262"/>
      <c r="AD138" s="1262"/>
    </row>
    <row r="139" ht="9" customHeight="1">
      <c r="A139" s="1279"/>
      <c r="B139" s="1279"/>
      <c r="C139" s="1277"/>
      <c r="D139" s="1277"/>
      <c r="E139" s="1277"/>
      <c r="F139" s="1277"/>
      <c r="G139" s="1277"/>
      <c r="H139" s="1300"/>
      <c r="I139" s="1300"/>
      <c r="J139" s="1300"/>
      <c r="K139" s="1300"/>
      <c r="L139" s="1300"/>
      <c r="M139" s="1277"/>
      <c r="N139" s="1305"/>
      <c r="O139" s="1277"/>
      <c r="P139" s="1277"/>
      <c r="Q139" s="1277"/>
      <c r="R139" s="1277"/>
      <c r="S139" s="1277"/>
      <c r="T139" s="1277"/>
      <c r="U139" s="1277"/>
      <c r="V139" s="1277"/>
      <c r="W139" s="1277"/>
      <c r="X139" s="1277"/>
      <c r="Y139" s="1284"/>
      <c r="Z139" s="1262"/>
      <c r="AA139" s="1269"/>
      <c r="AB139" s="1262"/>
      <c r="AC139" s="1262"/>
      <c r="AD139" s="1262"/>
    </row>
    <row r="140" ht="9" customHeight="1">
      <c r="A140" s="1279"/>
      <c r="B140" s="1279"/>
      <c r="C140" s="1277"/>
      <c r="D140" s="1277"/>
      <c r="E140" s="1277"/>
      <c r="F140" s="1277"/>
      <c r="G140" s="1277"/>
      <c r="H140" s="1300"/>
      <c r="I140" s="1300"/>
      <c r="J140" s="1300"/>
      <c r="K140" s="1300"/>
      <c r="L140" s="1300"/>
      <c r="M140" s="1277"/>
      <c r="N140" s="1305"/>
      <c r="O140" s="1277"/>
      <c r="P140" s="1277"/>
      <c r="Q140" s="1277"/>
      <c r="R140" s="1277"/>
      <c r="S140" s="1277"/>
      <c r="T140" s="1277"/>
      <c r="U140" s="1277"/>
      <c r="V140" s="1277"/>
      <c r="W140" s="1277"/>
      <c r="X140" s="1277"/>
      <c r="Y140" s="1284"/>
      <c r="Z140" s="1262"/>
      <c r="AA140" s="1269"/>
      <c r="AB140" s="1262"/>
      <c r="AC140" s="1262"/>
      <c r="AD140" s="1262"/>
    </row>
    <row r="141" ht="9" customHeight="1">
      <c r="A141" s="1279"/>
      <c r="B141" s="1279"/>
      <c r="C141" s="1277"/>
      <c r="D141" s="1277"/>
      <c r="E141" s="1277"/>
      <c r="F141" s="1277"/>
      <c r="G141" s="1277"/>
      <c r="H141" s="1300"/>
      <c r="I141" s="1300"/>
      <c r="J141" s="1300"/>
      <c r="K141" s="1300"/>
      <c r="L141" s="1300"/>
      <c r="M141" s="1277"/>
      <c r="N141" s="1305"/>
      <c r="O141" s="1277"/>
      <c r="P141" s="1277"/>
      <c r="Q141" s="1277"/>
      <c r="R141" s="1277"/>
      <c r="S141" s="1277"/>
      <c r="T141" s="1277"/>
      <c r="U141" s="1277"/>
      <c r="V141" s="1277"/>
      <c r="W141" s="1277"/>
      <c r="X141" s="1277"/>
      <c r="Y141" s="1284"/>
      <c r="Z141" s="1262"/>
      <c r="AA141" s="1269"/>
      <c r="AB141" s="1262"/>
      <c r="AC141" s="1262"/>
      <c r="AD141" s="1262"/>
    </row>
    <row r="142" ht="9" customHeight="1">
      <c r="A142" s="1279"/>
      <c r="B142" s="1279"/>
      <c r="C142" s="1277"/>
      <c r="D142" s="1277"/>
      <c r="E142" s="1277"/>
      <c r="F142" s="1277"/>
      <c r="G142" s="1277"/>
      <c r="H142" s="1300"/>
      <c r="I142" s="1300"/>
      <c r="J142" s="1300"/>
      <c r="K142" s="1300"/>
      <c r="L142" s="1300"/>
      <c r="M142" s="1277"/>
      <c r="N142" s="1305"/>
      <c r="O142" s="1277"/>
      <c r="P142" s="1277"/>
      <c r="Q142" s="1277"/>
      <c r="R142" s="1277"/>
      <c r="S142" s="1277"/>
      <c r="T142" s="1277"/>
      <c r="U142" s="1277"/>
      <c r="V142" s="1277"/>
      <c r="W142" s="1277"/>
      <c r="X142" s="1277"/>
      <c r="Y142" s="1284"/>
      <c r="Z142" s="1262"/>
      <c r="AA142" s="1269"/>
      <c r="AB142" s="1262"/>
      <c r="AC142" s="1262"/>
      <c r="AD142" s="1262"/>
    </row>
    <row r="143" ht="9" customHeight="1">
      <c r="A143" s="1279"/>
      <c r="B143" s="1279"/>
      <c r="C143" s="1277"/>
      <c r="D143" s="1277"/>
      <c r="E143" s="1277"/>
      <c r="F143" s="1277"/>
      <c r="G143" s="1277"/>
      <c r="H143" s="1300"/>
      <c r="I143" s="1300"/>
      <c r="J143" s="1300"/>
      <c r="K143" s="1300"/>
      <c r="L143" s="1300"/>
      <c r="M143" s="1277"/>
      <c r="N143" s="1305"/>
      <c r="O143" s="1277"/>
      <c r="P143" s="1277"/>
      <c r="Q143" s="1277"/>
      <c r="R143" s="1277"/>
      <c r="S143" s="1277"/>
      <c r="T143" s="1277"/>
      <c r="U143" s="1277"/>
      <c r="V143" s="1277"/>
      <c r="W143" s="1277"/>
      <c r="X143" s="1277"/>
      <c r="Y143" s="1284"/>
      <c r="Z143" s="1262"/>
      <c r="AA143" s="1269"/>
      <c r="AB143" s="1262"/>
      <c r="AC143" s="1262"/>
      <c r="AD143" s="1262"/>
    </row>
    <row r="144" ht="9" customHeight="1">
      <c r="A144" s="1279"/>
      <c r="B144" s="1279"/>
      <c r="C144" s="1277"/>
      <c r="D144" s="1277"/>
      <c r="E144" s="1277"/>
      <c r="F144" s="1277"/>
      <c r="G144" s="1277"/>
      <c r="H144" s="1300"/>
      <c r="I144" s="1300"/>
      <c r="J144" s="1300"/>
      <c r="K144" s="1300"/>
      <c r="L144" s="1300"/>
      <c r="M144" s="1277"/>
      <c r="N144" s="1305"/>
      <c r="O144" s="1277"/>
      <c r="P144" s="1277"/>
      <c r="Q144" s="1277"/>
      <c r="R144" s="1277"/>
      <c r="S144" s="1277"/>
      <c r="T144" s="1277"/>
      <c r="U144" s="1277"/>
      <c r="V144" s="1277"/>
      <c r="W144" s="1277"/>
      <c r="X144" s="1277"/>
      <c r="Y144" s="1284"/>
      <c r="Z144" s="1262"/>
      <c r="AA144" s="1269"/>
      <c r="AB144" s="1262"/>
      <c r="AC144" s="1262"/>
      <c r="AD144" s="1262"/>
    </row>
    <row r="145" ht="9" customHeight="1">
      <c r="A145" s="1279"/>
      <c r="B145" s="1279"/>
      <c r="C145" s="1277"/>
      <c r="D145" s="1277"/>
      <c r="E145" s="1277"/>
      <c r="F145" s="1277"/>
      <c r="G145" s="1277"/>
      <c r="H145" s="1300"/>
      <c r="I145" s="1300"/>
      <c r="J145" s="1300"/>
      <c r="K145" s="1300"/>
      <c r="L145" s="1300"/>
      <c r="M145" s="1277"/>
      <c r="N145" s="1305"/>
      <c r="O145" s="1277"/>
      <c r="P145" s="1277"/>
      <c r="Q145" s="1277"/>
      <c r="R145" s="1277"/>
      <c r="S145" s="1277"/>
      <c r="T145" s="1277"/>
      <c r="U145" s="1277"/>
      <c r="V145" s="1277"/>
      <c r="W145" s="1277"/>
      <c r="X145" s="1277"/>
      <c r="Y145" s="1284"/>
      <c r="Z145" s="1262"/>
      <c r="AA145" s="1269"/>
      <c r="AB145" s="1262"/>
      <c r="AC145" s="1262"/>
      <c r="AD145" s="1262"/>
    </row>
    <row r="146" ht="9" customHeight="1">
      <c r="A146" s="1279"/>
      <c r="B146" s="1279"/>
      <c r="C146" s="1277"/>
      <c r="D146" s="1277"/>
      <c r="E146" s="1277"/>
      <c r="F146" s="1277"/>
      <c r="G146" s="1277"/>
      <c r="H146" s="1300"/>
      <c r="I146" s="1300"/>
      <c r="J146" s="1300"/>
      <c r="K146" s="1300"/>
      <c r="L146" s="1300"/>
      <c r="M146" s="1277"/>
      <c r="N146" s="1305"/>
      <c r="O146" s="1277"/>
      <c r="P146" s="1277"/>
      <c r="Q146" s="1277"/>
      <c r="R146" s="1277"/>
      <c r="S146" s="1277"/>
      <c r="T146" s="1277"/>
      <c r="U146" s="1277"/>
      <c r="V146" s="1277"/>
      <c r="W146" s="1277"/>
      <c r="X146" s="1277"/>
      <c r="Y146" s="1284"/>
      <c r="Z146" s="1262"/>
      <c r="AA146" s="1269"/>
      <c r="AB146" s="1262"/>
      <c r="AC146" s="1262"/>
      <c r="AD146" s="1262"/>
    </row>
    <row r="147" ht="9" customHeight="1">
      <c r="A147" s="1279"/>
      <c r="B147" s="1279"/>
      <c r="C147" s="1279"/>
      <c r="D147" s="1279"/>
      <c r="E147" s="1279"/>
      <c r="F147" s="1279"/>
      <c r="G147" s="1279"/>
      <c r="H147" s="1279"/>
      <c r="I147" s="1279"/>
      <c r="J147" s="1279"/>
      <c r="K147" s="1279"/>
      <c r="L147" s="1279"/>
      <c r="M147" s="1279"/>
      <c r="N147" s="1279"/>
      <c r="O147" s="1279"/>
      <c r="P147" s="1279"/>
      <c r="Q147" s="1279"/>
      <c r="R147" s="1279"/>
      <c r="S147" s="1279"/>
      <c r="T147" s="1279"/>
      <c r="U147" s="1279"/>
      <c r="V147" s="1279"/>
      <c r="W147" s="1279"/>
      <c r="X147" s="1279"/>
      <c r="Y147" s="1279"/>
      <c r="Z147" s="1279"/>
      <c r="AA147" s="1279"/>
      <c r="AB147" s="1279"/>
      <c r="AC147" s="1279"/>
      <c r="AD147" s="1279"/>
    </row>
    <row r="148" ht="90" customHeight="1">
      <c r="A148" s="1279" t="s">
        <v>1649</v>
      </c>
      <c r="B148" s="1279"/>
      <c r="C148" s="1277" t="s">
        <v>2123</v>
      </c>
      <c r="D148" s="1277" t="s">
        <v>1552</v>
      </c>
      <c r="E148" s="1277" t="s">
        <v>1651</v>
      </c>
      <c r="F148" s="1277" t="s">
        <v>2124</v>
      </c>
      <c r="G148" s="1277"/>
      <c r="H148" s="1277"/>
      <c r="I148" s="1309"/>
      <c r="J148" s="1309"/>
      <c r="K148" s="1309"/>
      <c r="L148" s="1309"/>
      <c r="M148" s="1310" t="str">
        <f>IF(TEMPLATE_SPHERE="HEAT",T148,IF(TEMPLATE_SPHERE="TKO",X148,U148))</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90"/>
      <c r="O148" s="1277"/>
      <c r="P148" s="1283"/>
      <c r="Q148" s="1283"/>
      <c r="R148" s="1283"/>
      <c r="S148" s="1277"/>
      <c r="T148" s="1277" t="s">
        <v>2125</v>
      </c>
      <c r="U148" s="128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83"/>
      <c r="W148" s="1283"/>
      <c r="X148" s="1277" t="s">
        <v>2126</v>
      </c>
      <c r="Y148" s="1284"/>
      <c r="Z148" s="1262"/>
      <c r="AA148" s="1269"/>
      <c r="AB148" s="1262"/>
      <c r="AC148" s="1262"/>
      <c r="AD148" s="1262"/>
    </row>
    <row r="149" ht="9" customHeight="1">
      <c r="A149" s="1279"/>
      <c r="B149" s="1279"/>
      <c r="C149" s="1279"/>
      <c r="D149" s="1279"/>
      <c r="E149" s="1279"/>
      <c r="F149" s="1279"/>
      <c r="G149" s="1279"/>
      <c r="H149" s="1279"/>
      <c r="I149" s="1279"/>
      <c r="J149" s="1279"/>
      <c r="K149" s="1279"/>
      <c r="L149" s="1279"/>
      <c r="M149" s="1279"/>
      <c r="N149" s="1279"/>
      <c r="O149" s="1279"/>
      <c r="P149" s="1279"/>
      <c r="Q149" s="1279"/>
      <c r="R149" s="1279"/>
      <c r="S149" s="1279"/>
      <c r="T149" s="1279"/>
      <c r="U149" s="1279"/>
      <c r="V149" s="1279"/>
      <c r="W149" s="1279"/>
      <c r="X149" s="1279"/>
      <c r="Y149" s="1279"/>
      <c r="Z149" s="1279"/>
      <c r="AA149" s="1279"/>
      <c r="AB149" s="1279"/>
      <c r="AC149" s="1279"/>
      <c r="AD149" s="1279"/>
    </row>
    <row r="150" ht="9" customHeight="1">
      <c r="A150" s="1279" t="s">
        <v>1653</v>
      </c>
      <c r="B150" s="1279"/>
      <c r="C150" s="1277"/>
      <c r="D150" s="1277"/>
      <c r="E150" s="1277"/>
      <c r="F150" s="1277"/>
      <c r="G150" s="1277"/>
      <c r="H150" s="1277"/>
      <c r="I150" s="1277"/>
      <c r="J150" s="1277"/>
      <c r="K150" s="1277"/>
      <c r="L150" s="1277"/>
      <c r="M150" s="1277"/>
      <c r="N150" s="1277"/>
      <c r="O150" s="1277"/>
      <c r="P150" s="1277"/>
      <c r="Q150" s="1277"/>
      <c r="R150" s="1277"/>
      <c r="S150" s="1277"/>
      <c r="T150" s="1277"/>
      <c r="U150" s="1277"/>
      <c r="V150" s="1277"/>
      <c r="W150" s="1277"/>
      <c r="X150" s="1277"/>
      <c r="Y150" s="1284"/>
      <c r="Z150" s="1262"/>
      <c r="AA150" s="1269"/>
      <c r="AB150" s="1262"/>
      <c r="AC150" s="1262"/>
      <c r="AD150" s="1262"/>
    </row>
    <row r="151" ht="9" customHeight="1">
      <c r="A151" s="1279"/>
      <c r="B151" s="1279"/>
      <c r="C151" s="1279"/>
      <c r="D151" s="1279"/>
      <c r="E151" s="1279"/>
      <c r="F151" s="1279"/>
      <c r="G151" s="1279"/>
      <c r="H151" s="1279"/>
      <c r="I151" s="1279"/>
      <c r="J151" s="1279"/>
      <c r="K151" s="1279"/>
      <c r="L151" s="1279"/>
      <c r="M151" s="1279"/>
      <c r="N151" s="1279"/>
      <c r="O151" s="1279"/>
      <c r="P151" s="1279"/>
      <c r="Q151" s="1279"/>
      <c r="R151" s="1279"/>
      <c r="S151" s="1279"/>
      <c r="T151" s="1279"/>
      <c r="U151" s="1279"/>
      <c r="V151" s="1279"/>
      <c r="W151" s="1279"/>
      <c r="X151" s="1279"/>
      <c r="Y151" s="1279"/>
      <c r="Z151" s="1279"/>
      <c r="AA151" s="1279"/>
      <c r="AB151" s="1279"/>
      <c r="AC151" s="1279"/>
      <c r="AD151" s="1279"/>
    </row>
    <row r="152" ht="9" customHeight="1">
      <c r="A152" s="1279" t="s">
        <v>1656</v>
      </c>
      <c r="B152" s="1279"/>
      <c r="C152" s="1277"/>
      <c r="D152" s="1277"/>
      <c r="E152" s="1277"/>
      <c r="F152" s="1277"/>
      <c r="G152" s="1277"/>
      <c r="H152" s="1277"/>
      <c r="I152" s="1277"/>
      <c r="J152" s="1277"/>
      <c r="K152" s="1277"/>
      <c r="L152" s="1277"/>
      <c r="M152" s="1277"/>
      <c r="N152" s="1277"/>
      <c r="O152" s="1277"/>
      <c r="P152" s="1277"/>
      <c r="Q152" s="1277"/>
      <c r="R152" s="1277"/>
      <c r="S152" s="1277"/>
      <c r="T152" s="1277"/>
      <c r="U152" s="1277"/>
      <c r="V152" s="1277"/>
      <c r="W152" s="1277"/>
      <c r="X152" s="1277"/>
      <c r="Y152" s="1284"/>
      <c r="Z152" s="1262"/>
      <c r="AA152" s="1269"/>
      <c r="AB152" s="1262"/>
      <c r="AC152" s="1262"/>
      <c r="AD152" s="1262"/>
    </row>
    <row r="153" ht="9" customHeight="1">
      <c r="A153" s="1279"/>
      <c r="B153" s="1279"/>
      <c r="C153" s="1279"/>
      <c r="D153" s="1279"/>
      <c r="E153" s="1279"/>
      <c r="F153" s="1279"/>
      <c r="G153" s="1279"/>
      <c r="H153" s="1279"/>
      <c r="I153" s="1279"/>
      <c r="J153" s="1279"/>
      <c r="K153" s="1279"/>
      <c r="L153" s="1279"/>
      <c r="M153" s="1279"/>
      <c r="N153" s="1279"/>
      <c r="O153" s="1279"/>
      <c r="P153" s="1279"/>
      <c r="Q153" s="1279"/>
      <c r="R153" s="1279"/>
      <c r="S153" s="1279"/>
      <c r="T153" s="1279"/>
      <c r="U153" s="1279"/>
      <c r="V153" s="1279"/>
      <c r="W153" s="1279"/>
      <c r="X153" s="1279"/>
      <c r="Y153" s="1279"/>
      <c r="Z153" s="1279"/>
      <c r="AA153" s="1279"/>
      <c r="AB153" s="1279"/>
      <c r="AC153" s="1279"/>
      <c r="AD153" s="1279"/>
    </row>
    <row r="154" ht="9" customHeight="1">
      <c r="A154" s="1279" t="s">
        <v>1661</v>
      </c>
      <c r="B154" s="1279"/>
      <c r="C154" s="1277"/>
      <c r="D154" s="1277"/>
      <c r="E154" s="1277"/>
      <c r="F154" s="1277"/>
      <c r="G154" s="1277"/>
      <c r="H154" s="1277"/>
      <c r="I154" s="1277"/>
      <c r="J154" s="1277"/>
      <c r="K154" s="1277"/>
      <c r="L154" s="1277"/>
      <c r="M154" s="1277"/>
      <c r="N154" s="1277"/>
      <c r="O154" s="1277"/>
      <c r="P154" s="1277"/>
      <c r="Q154" s="1277"/>
      <c r="R154" s="1277"/>
      <c r="S154" s="1277"/>
      <c r="T154" s="1277"/>
      <c r="U154" s="1277"/>
      <c r="V154" s="1277"/>
      <c r="W154" s="1277"/>
      <c r="X154" s="1277"/>
      <c r="Y154" s="1284"/>
      <c r="Z154" s="1262"/>
      <c r="AA154" s="1269"/>
      <c r="AB154" s="1262"/>
      <c r="AC154" s="1262"/>
      <c r="AD154" s="1262"/>
    </row>
  </sheetData>
  <sheetProtection autoFilter="0" deleteColumns="0" deleteRows="0" formatCells="1" formatColumns="1" formatRows="1" insertColumns="1" insertHyperlinks="1" insertRows="0" pivotTables="1" selectLockedCells="0" selectUnlockedCells="0" sheet="0" sort="0"/>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I4" zoomScale="10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2.28125"/>
    <col customWidth="1" hidden="1" min="6" max="8" style="61" width="12.28125"/>
    <col customWidth="1" min="9" max="9" style="60" width="3.7109375"/>
    <col customWidth="1" min="10" max="11" style="477" width="3.7109375"/>
    <col customWidth="1" min="12" max="12" style="322" width="12.7109375"/>
    <col customWidth="1" min="13" max="13" style="50" width="32.00390625"/>
    <col customWidth="1" min="14" max="14" style="50" width="1.7109375"/>
    <col customWidth="1" min="15" max="18" style="50" width="24.7109375"/>
    <col customWidth="1" min="19" max="19" style="50" width="11.7109375"/>
    <col customWidth="1" min="20" max="20" style="50" width="3.7109375"/>
    <col customWidth="1" min="21" max="21" style="50" width="11.7109375"/>
    <col customWidth="1" min="22" max="22" style="50" width="8.57421875"/>
    <col customWidth="1" min="23" max="23" style="50" width="4.7109375"/>
    <col customWidth="1" min="24" max="24" style="50" width="115.7109375"/>
    <col min="25" max="26" style="57" width="10.57421875"/>
    <col customWidth="1" min="27" max="27" style="57" width="11.140625"/>
    <col min="28" max="29" style="57" width="10.57421875"/>
  </cols>
  <sheetData>
    <row r="1" ht="14.25" hidden="1" customHeight="1">
      <c r="R1" s="50"/>
      <c r="S1" s="50"/>
    </row>
    <row r="2" ht="14.25" hidden="1" customHeight="1">
      <c r="V2" s="50"/>
    </row>
    <row r="3" ht="14.25" hidden="1" customHeight="1"/>
    <row r="4" ht="14.25" customHeight="1">
      <c r="J4" s="537"/>
      <c r="K4" s="537"/>
      <c r="L4" s="538"/>
      <c r="M4" s="89"/>
      <c r="N4" s="89"/>
      <c r="O4" s="50"/>
      <c r="P4" s="50"/>
      <c r="Q4" s="50"/>
      <c r="R4" s="50"/>
      <c r="S4" s="50"/>
      <c r="T4" s="50"/>
      <c r="U4" s="50"/>
      <c r="V4" s="50"/>
    </row>
    <row r="5" ht="64.5" customHeight="1">
      <c r="J5" s="537"/>
      <c r="K5" s="537"/>
      <c r="L5" s="1311" t="s">
        <v>2127</v>
      </c>
      <c r="M5" s="1311"/>
      <c r="N5" s="1311"/>
      <c r="O5" s="1311"/>
      <c r="P5" s="1311"/>
      <c r="Q5" s="1311"/>
      <c r="R5" s="1311"/>
      <c r="S5" s="1311"/>
      <c r="T5" s="1311"/>
      <c r="U5" s="1311"/>
      <c r="V5" s="241"/>
    </row>
    <row r="6" ht="14.25" customHeight="1">
      <c r="J6" s="537"/>
      <c r="K6" s="537"/>
      <c r="L6" s="1312" t="str">
        <f>IF(org=0,"Не определено",org)</f>
        <v xml:space="preserve">филиал ПАО "ОГК-2" - Адлерская ТЭС</v>
      </c>
      <c r="M6" s="1312"/>
      <c r="N6" s="1312"/>
      <c r="O6" s="1312"/>
      <c r="P6" s="1312"/>
      <c r="Q6" s="1312"/>
      <c r="R6" s="1312"/>
      <c r="S6" s="1312"/>
      <c r="T6" s="1312"/>
      <c r="U6" s="1312"/>
      <c r="V6" s="241"/>
    </row>
    <row r="7" ht="14.25" customHeight="1">
      <c r="J7" s="537"/>
      <c r="K7" s="537"/>
      <c r="L7" s="538"/>
      <c r="M7" s="89"/>
      <c r="N7" s="89"/>
      <c r="O7" s="539"/>
      <c r="P7" s="539"/>
      <c r="Q7" s="539"/>
      <c r="R7" s="539"/>
      <c r="S7" s="539"/>
      <c r="T7" s="539"/>
      <c r="U7" s="539"/>
      <c r="V7" s="539"/>
      <c r="W7" s="50"/>
    </row>
    <row r="8" s="185" customFormat="1" ht="45" customHeight="1">
      <c r="A8" s="150"/>
      <c r="B8" s="150"/>
      <c r="C8" s="150"/>
      <c r="D8" s="150"/>
      <c r="E8" s="150"/>
      <c r="F8" s="150"/>
      <c r="G8" s="150"/>
      <c r="H8" s="150"/>
      <c r="L8" s="1219"/>
      <c r="M8" s="540" t="s">
        <v>38</v>
      </c>
      <c r="N8" s="1203"/>
      <c r="O8" s="542" t="str">
        <f>IF(TITLE_NAME_OR_PR_CHANGE="",IF(TITLE_NAME_OR_PR="","",TITLE_NAME_OR_PR),TITLE_NAME_OR_PR_CHANGE)</f>
        <v/>
      </c>
      <c r="P8" s="542"/>
      <c r="Q8" s="542"/>
      <c r="R8" s="542"/>
      <c r="S8" s="542"/>
      <c r="T8" s="542"/>
      <c r="U8" s="542"/>
      <c r="V8" s="50"/>
      <c r="W8" s="50"/>
      <c r="X8" s="543"/>
      <c r="Y8" s="128"/>
      <c r="Z8" s="128"/>
      <c r="AA8" s="128"/>
      <c r="AB8" s="128"/>
      <c r="AC8" s="128"/>
    </row>
    <row r="9" s="185" customFormat="1" ht="22.5" customHeight="1">
      <c r="A9" s="150"/>
      <c r="B9" s="150"/>
      <c r="C9" s="150"/>
      <c r="D9" s="150"/>
      <c r="E9" s="150"/>
      <c r="F9" s="150"/>
      <c r="G9" s="150"/>
      <c r="H9" s="150"/>
      <c r="L9" s="1219"/>
      <c r="M9" s="540" t="s">
        <v>413</v>
      </c>
      <c r="N9" s="1203"/>
      <c r="O9" s="542" t="str">
        <f>IF(TITLE_DATE_CHANGE_PERIOD="",IF(TITLE_DATE_PR="","",TITLE_DATE_PR),TITLE_DATE_CHANGE_PERIOD)</f>
        <v/>
      </c>
      <c r="P9" s="542"/>
      <c r="Q9" s="542"/>
      <c r="R9" s="542"/>
      <c r="S9" s="542"/>
      <c r="T9" s="542"/>
      <c r="U9" s="542"/>
      <c r="V9" s="50"/>
      <c r="W9" s="50"/>
      <c r="X9" s="543"/>
      <c r="Y9" s="128"/>
      <c r="Z9" s="128"/>
      <c r="AA9" s="128"/>
      <c r="AB9" s="128"/>
      <c r="AC9" s="128"/>
    </row>
    <row r="10" s="185" customFormat="1" ht="22.5" customHeight="1">
      <c r="A10" s="150"/>
      <c r="B10" s="150"/>
      <c r="C10" s="150"/>
      <c r="D10" s="150"/>
      <c r="E10" s="150"/>
      <c r="F10" s="150"/>
      <c r="G10" s="150"/>
      <c r="H10" s="150"/>
      <c r="L10" s="322"/>
      <c r="M10" s="540" t="s">
        <v>414</v>
      </c>
      <c r="N10" s="1203"/>
      <c r="O10" s="542" t="str">
        <f>IF(TITLE_NUMBER_PR_CHANGE="",IF(TITLE_NUMBER_PR="","",TITLE_NUMBER_PR),TITLE_NUMBER_PR_CHANGE)</f>
        <v/>
      </c>
      <c r="P10" s="542"/>
      <c r="Q10" s="542"/>
      <c r="R10" s="542"/>
      <c r="S10" s="542"/>
      <c r="T10" s="542"/>
      <c r="U10" s="542"/>
      <c r="V10" s="50"/>
      <c r="W10" s="50"/>
      <c r="X10" s="543"/>
      <c r="Y10" s="128"/>
      <c r="Z10" s="128"/>
      <c r="AA10" s="128"/>
      <c r="AB10" s="128"/>
      <c r="AC10" s="128"/>
    </row>
    <row r="11" s="185" customFormat="1" ht="22.5" customHeight="1">
      <c r="A11" s="150"/>
      <c r="B11" s="150"/>
      <c r="C11" s="150"/>
      <c r="D11" s="150"/>
      <c r="E11" s="150"/>
      <c r="F11" s="150"/>
      <c r="G11" s="150"/>
      <c r="H11" s="150"/>
      <c r="L11" s="322"/>
      <c r="M11" s="540" t="s">
        <v>39</v>
      </c>
      <c r="N11" s="1203"/>
      <c r="O11" s="542" t="str">
        <f>IF(TITLE_IST_PUB_CHANGE="",IF(TITLE_IST_PUB="","",TITLE_IST_PUB),TITLE_IST_PUB_CHANGE)</f>
        <v/>
      </c>
      <c r="P11" s="542"/>
      <c r="Q11" s="542"/>
      <c r="R11" s="542"/>
      <c r="S11" s="542"/>
      <c r="T11" s="542"/>
      <c r="U11" s="542"/>
      <c r="V11" s="50"/>
      <c r="W11" s="50"/>
      <c r="X11" s="543"/>
      <c r="Y11" s="128"/>
      <c r="Z11" s="128"/>
      <c r="AA11" s="128"/>
      <c r="AB11" s="128"/>
      <c r="AC11" s="128"/>
    </row>
    <row r="12" s="185" customFormat="1" ht="11.25" hidden="1" customHeight="1">
      <c r="A12" s="150"/>
      <c r="B12" s="150"/>
      <c r="C12" s="150"/>
      <c r="D12" s="150"/>
      <c r="E12" s="150"/>
      <c r="F12" s="150"/>
      <c r="G12" s="150"/>
      <c r="H12" s="150"/>
      <c r="L12" s="139"/>
      <c r="M12" s="139"/>
      <c r="N12" s="139"/>
      <c r="O12" s="50"/>
      <c r="P12" s="50"/>
      <c r="Q12" s="50"/>
      <c r="R12" s="50"/>
      <c r="S12" s="50"/>
      <c r="T12" s="50"/>
      <c r="U12" s="50"/>
      <c r="V12" s="57" t="s">
        <v>417</v>
      </c>
      <c r="Y12" s="128"/>
      <c r="Z12" s="128"/>
      <c r="AA12" s="128"/>
      <c r="AB12" s="128"/>
      <c r="AC12" s="128"/>
    </row>
    <row r="13" ht="14.25" customHeight="1">
      <c r="J13" s="537"/>
      <c r="K13" s="537"/>
      <c r="L13" s="538"/>
      <c r="M13" s="89"/>
      <c r="N13" s="545"/>
      <c r="O13" s="546"/>
      <c r="P13" s="546"/>
      <c r="Q13" s="546"/>
      <c r="R13" s="546"/>
      <c r="S13" s="546"/>
      <c r="T13" s="546"/>
      <c r="U13" s="546"/>
      <c r="V13" s="546"/>
    </row>
    <row r="14" ht="14.25" customHeight="1">
      <c r="J14" s="537"/>
      <c r="K14" s="537"/>
      <c r="L14" s="156" t="s">
        <v>288</v>
      </c>
      <c r="M14" s="156"/>
      <c r="N14" s="156"/>
      <c r="O14" s="156"/>
      <c r="P14" s="156"/>
      <c r="Q14" s="156"/>
      <c r="R14" s="156"/>
      <c r="S14" s="156"/>
      <c r="T14" s="156"/>
      <c r="U14" s="156"/>
      <c r="V14" s="156"/>
      <c r="W14" s="156"/>
      <c r="X14" s="156" t="s">
        <v>289</v>
      </c>
    </row>
    <row r="15" ht="14.25" customHeight="1">
      <c r="J15" s="537"/>
      <c r="K15" s="537"/>
      <c r="L15" s="483" t="s">
        <v>85</v>
      </c>
      <c r="M15" s="347" t="s">
        <v>418</v>
      </c>
      <c r="N15" s="547"/>
      <c r="O15" s="548" t="s">
        <v>2128</v>
      </c>
      <c r="P15" s="549"/>
      <c r="Q15" s="549"/>
      <c r="R15" s="549"/>
      <c r="S15" s="549"/>
      <c r="T15" s="549"/>
      <c r="U15" s="550"/>
      <c r="V15" s="551" t="s">
        <v>420</v>
      </c>
      <c r="W15" s="552" t="s">
        <v>1044</v>
      </c>
      <c r="X15" s="156"/>
    </row>
    <row r="16" ht="33.75" customHeight="1">
      <c r="J16" s="537"/>
      <c r="K16" s="537"/>
      <c r="L16" s="483"/>
      <c r="M16" s="347"/>
      <c r="N16" s="553"/>
      <c r="O16" s="306" t="s">
        <v>423</v>
      </c>
      <c r="P16" s="306" t="s">
        <v>424</v>
      </c>
      <c r="Q16" s="73" t="s">
        <v>425</v>
      </c>
      <c r="R16" s="72"/>
      <c r="S16" s="73" t="s">
        <v>439</v>
      </c>
      <c r="T16" s="144"/>
      <c r="U16" s="72"/>
      <c r="V16" s="555"/>
      <c r="W16" s="556"/>
      <c r="X16" s="156"/>
    </row>
    <row r="17" ht="33.75" customHeight="1">
      <c r="A17" s="150" t="s">
        <v>136</v>
      </c>
      <c r="B17" s="150" t="s">
        <v>137</v>
      </c>
      <c r="C17" s="150" t="s">
        <v>138</v>
      </c>
      <c r="D17" s="150" t="s">
        <v>139</v>
      </c>
      <c r="E17" s="150"/>
      <c r="J17" s="537"/>
      <c r="K17" s="537"/>
      <c r="L17" s="483"/>
      <c r="M17" s="347"/>
      <c r="N17" s="557"/>
      <c r="O17" s="161"/>
      <c r="P17" s="161"/>
      <c r="Q17" s="247" t="s">
        <v>434</v>
      </c>
      <c r="R17" s="247" t="s">
        <v>435</v>
      </c>
      <c r="S17" s="247" t="s">
        <v>436</v>
      </c>
      <c r="T17" s="414" t="s">
        <v>437</v>
      </c>
      <c r="U17" s="416"/>
      <c r="V17" s="559"/>
      <c r="W17" s="560"/>
      <c r="X17" s="156"/>
    </row>
    <row r="18" s="130" customFormat="1" ht="11.25" customHeight="1">
      <c r="A18" s="150"/>
      <c r="B18" s="150"/>
      <c r="C18" s="150"/>
      <c r="D18" s="150"/>
      <c r="E18" s="150"/>
      <c r="F18" s="61"/>
      <c r="G18" s="61"/>
      <c r="H18" s="61"/>
      <c r="I18" s="561"/>
      <c r="J18" s="562"/>
      <c r="K18" s="563">
        <v>1</v>
      </c>
      <c r="L18" s="564" t="s">
        <v>111</v>
      </c>
      <c r="M18" s="565" t="s">
        <v>99</v>
      </c>
      <c r="N18" s="566" t="str">
        <f ca="1">OFFSET(N18,0,-1)</f>
        <v>2</v>
      </c>
      <c r="O18" s="567">
        <f ca="1">OFFSET(O18,0,-1)+1</f>
        <v>3</v>
      </c>
      <c r="P18" s="567"/>
      <c r="Q18" s="567">
        <f ca="1">OFFSET(Q18,0,-1)+1</f>
        <v>1</v>
      </c>
      <c r="R18" s="567">
        <f ca="1">OFFSET(R18,0,-1)+1</f>
        <v>2</v>
      </c>
      <c r="S18" s="567">
        <f ca="1">OFFSET(S18,0,-1)+1</f>
        <v>3</v>
      </c>
      <c r="T18" s="567">
        <f ca="1">OFFSET(T18,0,-1)+1</f>
        <v>4</v>
      </c>
      <c r="U18" s="567"/>
      <c r="V18" s="567">
        <f ca="1">OFFSET(V18,0,-2)+1</f>
        <v>5</v>
      </c>
      <c r="W18" s="566">
        <f ca="1">OFFSET(W18,0,-1)</f>
        <v>5</v>
      </c>
      <c r="X18" s="567">
        <f ca="1">OFFSET(X18,0,-1)+1</f>
        <v>6</v>
      </c>
      <c r="Y18" s="57"/>
      <c r="Z18" s="57"/>
      <c r="AA18" s="57"/>
      <c r="AB18" s="57"/>
      <c r="AC18" s="57"/>
    </row>
    <row r="19" ht="21" customHeight="1">
      <c r="A19" s="478" t="s">
        <v>170</v>
      </c>
      <c r="B19" s="478" t="s">
        <v>171</v>
      </c>
      <c r="C19" s="478" t="s">
        <v>172</v>
      </c>
      <c r="D19" s="478" t="s">
        <v>173</v>
      </c>
      <c r="E19" s="478"/>
      <c r="F19" s="481"/>
      <c r="G19" s="481"/>
      <c r="H19" s="481"/>
      <c r="I19" s="60"/>
      <c r="J19" s="142"/>
      <c r="K19" s="482"/>
      <c r="L19" s="483">
        <f>INDEX(PT_DIFFERENTIATION_NUM_NTAR,MATCH(A19,PT_DIFFERENTIATION_NTAR_ID,0))</f>
        <v>0</v>
      </c>
      <c r="M19" s="484" t="s">
        <v>125</v>
      </c>
      <c r="N19" s="485"/>
      <c r="O19" s="1313" t="str">
        <f>INDEX(PT_DIFFERENTIATION_NTAR,MATCH(A19,PT_DIFFERENTIATION_NTAR_ID,0))</f>
        <v/>
      </c>
      <c r="P19" s="1313"/>
      <c r="Q19" s="1313"/>
      <c r="R19" s="1313"/>
      <c r="S19" s="1313"/>
      <c r="T19" s="1313"/>
      <c r="U19" s="1313"/>
      <c r="V19" s="1313"/>
      <c r="W19" s="1313"/>
      <c r="X19" s="489" t="s">
        <v>386</v>
      </c>
      <c r="Z19" s="128"/>
      <c r="AA19" s="128" t="str">
        <f t="shared" ref="AA19:AA32" si="74">IF(M19="","",M19)</f>
        <v xml:space="preserve">Наименование тарифа</v>
      </c>
      <c r="AB19" s="128"/>
      <c r="AC19" s="128"/>
    </row>
    <row r="20" ht="21" customHeight="1">
      <c r="A20" s="478" t="s">
        <v>170</v>
      </c>
      <c r="B20" s="478" t="s">
        <v>171</v>
      </c>
      <c r="C20" s="478" t="s">
        <v>172</v>
      </c>
      <c r="D20" s="478" t="s">
        <v>173</v>
      </c>
      <c r="E20" s="478"/>
      <c r="F20" s="481"/>
      <c r="G20" s="481"/>
      <c r="H20" s="481"/>
      <c r="I20" s="51"/>
      <c r="J20" s="491"/>
      <c r="K20" s="492"/>
      <c r="L20" s="483" t="str">
        <f>INDEX(PT_DIFFERENTIATION_NUM_TER,MATCH(B19,PT_DIFFERENTIATION_TER_ID,0))</f>
        <v>.</v>
      </c>
      <c r="M20" s="493" t="s">
        <v>387</v>
      </c>
      <c r="N20" s="485"/>
      <c r="O20" s="1313" t="str">
        <f>INDEX(PT_DIFFERENTIATION_TER,MATCH(B19,PT_DIFFERENTIATION_TER_ID,0))</f>
        <v/>
      </c>
      <c r="P20" s="1313"/>
      <c r="Q20" s="1313"/>
      <c r="R20" s="1313"/>
      <c r="S20" s="1313"/>
      <c r="T20" s="1313"/>
      <c r="U20" s="1313"/>
      <c r="V20" s="1313"/>
      <c r="W20" s="1313"/>
      <c r="X20" s="489" t="s">
        <v>388</v>
      </c>
      <c r="Z20" s="128"/>
      <c r="AA20" s="128" t="str">
        <f t="shared" si="74"/>
        <v xml:space="preserve">Территория действия тарифа</v>
      </c>
      <c r="AB20" s="128"/>
      <c r="AC20" s="128"/>
    </row>
    <row r="21" ht="22.5" customHeight="1">
      <c r="A21" s="478" t="s">
        <v>170</v>
      </c>
      <c r="B21" s="478" t="s">
        <v>171</v>
      </c>
      <c r="C21" s="478" t="s">
        <v>172</v>
      </c>
      <c r="D21" s="478" t="s">
        <v>173</v>
      </c>
      <c r="E21" s="478"/>
      <c r="F21" s="481"/>
      <c r="G21" s="481"/>
      <c r="H21" s="481"/>
      <c r="I21" s="494"/>
      <c r="J21" s="491"/>
      <c r="K21" s="492"/>
      <c r="L21" s="483" t="str">
        <f>INDEX(PT_DIFFERENTIATION_NUM_CS,MATCH(C19,PT_DIFFERENTIATION_CS_ID,0))</f>
        <v>..</v>
      </c>
      <c r="M21" s="495" t="s">
        <v>389</v>
      </c>
      <c r="N21" s="485"/>
      <c r="O21" s="1313" t="str">
        <f>INDEX(PT_DIFFERENTIATION_CS,MATCH(C19,PT_DIFFERENTIATION_CS_ID,0))</f>
        <v/>
      </c>
      <c r="P21" s="1313"/>
      <c r="Q21" s="1313"/>
      <c r="R21" s="1313"/>
      <c r="S21" s="1313"/>
      <c r="T21" s="1313"/>
      <c r="U21" s="1313"/>
      <c r="V21" s="1313"/>
      <c r="W21" s="1313"/>
      <c r="X21" s="489" t="s">
        <v>390</v>
      </c>
      <c r="Z21" s="128"/>
      <c r="AA21" s="128" t="str">
        <f t="shared" si="74"/>
        <v xml:space="preserve">Наименование системы теплоснабжения</v>
      </c>
      <c r="AB21" s="128"/>
      <c r="AC21" s="128"/>
    </row>
    <row r="22" ht="21" customHeight="1">
      <c r="A22" s="478" t="s">
        <v>170</v>
      </c>
      <c r="B22" s="478" t="s">
        <v>171</v>
      </c>
      <c r="C22" s="478" t="s">
        <v>172</v>
      </c>
      <c r="D22" s="478" t="s">
        <v>173</v>
      </c>
      <c r="E22" s="478"/>
      <c r="F22" s="481"/>
      <c r="G22" s="481"/>
      <c r="H22" s="481"/>
      <c r="I22" s="494"/>
      <c r="J22" s="491"/>
      <c r="K22" s="492"/>
      <c r="L22" s="483" t="str">
        <f>INDEX(PT_DIFFERENTIATION_NUM_IST_TE,MATCH(D19,PT_DIFFERENTIATION_IST_TE_ID,0))</f>
        <v>...</v>
      </c>
      <c r="M22" s="496" t="s">
        <v>391</v>
      </c>
      <c r="N22" s="485"/>
      <c r="O22" s="1313" t="str">
        <f>INDEX(PT_DIFFERENTIATION_IST_TE,MATCH(D19,PT_DIFFERENTIATION_IST_TE_ID,0))</f>
        <v/>
      </c>
      <c r="P22" s="1313"/>
      <c r="Q22" s="1313"/>
      <c r="R22" s="1313"/>
      <c r="S22" s="1313"/>
      <c r="T22" s="1313"/>
      <c r="U22" s="1313"/>
      <c r="V22" s="1313"/>
      <c r="W22" s="1313"/>
      <c r="X22" s="489" t="s">
        <v>392</v>
      </c>
      <c r="Z22" s="128"/>
      <c r="AA22" s="128" t="str">
        <f t="shared" si="74"/>
        <v xml:space="preserve">Источник тепловой энергии</v>
      </c>
      <c r="AB22" s="128"/>
      <c r="AC22" s="128"/>
    </row>
    <row r="23" ht="94.5" customHeight="1">
      <c r="A23" s="478" t="s">
        <v>170</v>
      </c>
      <c r="B23" s="478" t="s">
        <v>171</v>
      </c>
      <c r="C23" s="478" t="s">
        <v>172</v>
      </c>
      <c r="D23" s="478" t="s">
        <v>173</v>
      </c>
      <c r="E23" s="478"/>
      <c r="F23" s="113" t="str">
        <f>L22&amp;".1"</f>
        <v>....1</v>
      </c>
      <c r="I23" s="131">
        <v>1</v>
      </c>
      <c r="J23" s="131"/>
      <c r="K23" s="497"/>
      <c r="L23" s="483" t="str">
        <f>$F$23</f>
        <v>....1</v>
      </c>
      <c r="M23" s="498" t="s">
        <v>394</v>
      </c>
      <c r="N23" s="485"/>
      <c r="O23" s="1314"/>
      <c r="P23" s="1314"/>
      <c r="Q23" s="1314"/>
      <c r="R23" s="1314"/>
      <c r="S23" s="1314"/>
      <c r="T23" s="1314"/>
      <c r="U23" s="1314"/>
      <c r="V23" s="1314"/>
      <c r="W23" s="1314"/>
      <c r="X23" s="489" t="s">
        <v>395</v>
      </c>
      <c r="Z23" s="128"/>
      <c r="AA23" s="128" t="str">
        <f t="shared" si="74"/>
        <v xml:space="preserve">Схема подключения теплопотребляющей установки к коллектору источника тепловой энергии</v>
      </c>
      <c r="AB23" s="128"/>
      <c r="AC23" s="128"/>
    </row>
    <row r="24" ht="84" customHeight="1">
      <c r="A24" s="478" t="s">
        <v>170</v>
      </c>
      <c r="B24" s="478" t="s">
        <v>171</v>
      </c>
      <c r="C24" s="478" t="s">
        <v>172</v>
      </c>
      <c r="D24" s="478" t="s">
        <v>173</v>
      </c>
      <c r="E24" s="478"/>
      <c r="F24" s="113"/>
      <c r="G24" s="113" t="str">
        <f>F23&amp;".1"</f>
        <v>....1.1</v>
      </c>
      <c r="I24" s="131"/>
      <c r="J24" s="131">
        <v>1</v>
      </c>
      <c r="K24" s="502"/>
      <c r="L24" s="483" t="str">
        <f>$G$24</f>
        <v>....1.1</v>
      </c>
      <c r="M24" s="503" t="s">
        <v>397</v>
      </c>
      <c r="N24" s="485"/>
      <c r="O24" s="1315"/>
      <c r="P24" s="1316"/>
      <c r="Q24" s="1316"/>
      <c r="R24" s="1316"/>
      <c r="S24" s="1316"/>
      <c r="T24" s="1316"/>
      <c r="U24" s="1316"/>
      <c r="V24" s="1316"/>
      <c r="W24" s="1317"/>
      <c r="X24" s="489" t="s">
        <v>398</v>
      </c>
      <c r="Z24" s="128"/>
      <c r="AA24" s="128" t="str">
        <f t="shared" si="74"/>
        <v xml:space="preserve">Группа потребителей</v>
      </c>
      <c r="AB24" s="128"/>
      <c r="AC24" s="128"/>
    </row>
    <row r="25" ht="11.25" customHeight="1">
      <c r="A25" s="478" t="s">
        <v>170</v>
      </c>
      <c r="B25" s="478" t="s">
        <v>171</v>
      </c>
      <c r="C25" s="478" t="s">
        <v>172</v>
      </c>
      <c r="D25" s="478" t="s">
        <v>173</v>
      </c>
      <c r="E25" s="478"/>
      <c r="F25" s="113"/>
      <c r="G25" s="113"/>
      <c r="H25" s="113" t="str">
        <f>G24&amp;".1"</f>
        <v>....1.1.1</v>
      </c>
      <c r="I25" s="131"/>
      <c r="J25" s="131"/>
      <c r="K25" s="502">
        <v>1</v>
      </c>
      <c r="L25" s="483" t="str">
        <f>$H$25</f>
        <v>....1.1.1</v>
      </c>
      <c r="M25" s="1318"/>
      <c r="N25" s="485"/>
      <c r="O25" s="505"/>
      <c r="P25" s="506"/>
      <c r="Q25" s="505"/>
      <c r="R25" s="507"/>
      <c r="S25" s="508"/>
      <c r="T25" s="225" t="s">
        <v>56</v>
      </c>
      <c r="U25" s="508"/>
      <c r="V25" s="225" t="s">
        <v>54</v>
      </c>
      <c r="W25" s="506"/>
      <c r="X25" s="509" t="s">
        <v>400</v>
      </c>
      <c r="Y25" s="57" t="e">
        <f>STRCHECKDATE(O26:W26)</f>
        <v>#NAME?</v>
      </c>
      <c r="Z25" s="128"/>
      <c r="AA25" s="128" t="str">
        <f t="shared" si="74"/>
        <v/>
      </c>
      <c r="AB25" s="128"/>
      <c r="AC25" s="128"/>
    </row>
    <row r="26" ht="11.25" customHeight="1">
      <c r="A26" s="478" t="s">
        <v>170</v>
      </c>
      <c r="B26" s="478" t="s">
        <v>171</v>
      </c>
      <c r="C26" s="478" t="s">
        <v>172</v>
      </c>
      <c r="D26" s="478" t="s">
        <v>173</v>
      </c>
      <c r="E26" s="478"/>
      <c r="F26" s="113"/>
      <c r="G26" s="113"/>
      <c r="H26" s="113"/>
      <c r="I26" s="131"/>
      <c r="J26" s="131"/>
      <c r="K26" s="502"/>
      <c r="L26" s="457"/>
      <c r="M26" s="485"/>
      <c r="N26" s="485"/>
      <c r="O26" s="506"/>
      <c r="P26" s="506"/>
      <c r="Q26" s="506"/>
      <c r="R26" s="510" t="str">
        <f>S25&amp;"-"&amp;U25</f>
        <v>-</v>
      </c>
      <c r="S26" s="511"/>
      <c r="T26" s="225"/>
      <c r="U26" s="511"/>
      <c r="V26" s="225"/>
      <c r="W26" s="506"/>
      <c r="X26" s="512"/>
      <c r="Z26" s="128"/>
      <c r="AA26" s="128" t="str">
        <f t="shared" si="74"/>
        <v/>
      </c>
      <c r="AB26" s="128"/>
      <c r="AC26" s="128"/>
    </row>
    <row r="27" ht="15" customHeight="1">
      <c r="A27" s="478" t="s">
        <v>170</v>
      </c>
      <c r="B27" s="478" t="s">
        <v>171</v>
      </c>
      <c r="C27" s="478" t="s">
        <v>172</v>
      </c>
      <c r="D27" s="478" t="s">
        <v>173</v>
      </c>
      <c r="E27" s="478"/>
      <c r="F27" s="113"/>
      <c r="G27" s="113"/>
      <c r="I27" s="131"/>
      <c r="J27" s="131"/>
      <c r="K27" s="497"/>
      <c r="L27" s="513"/>
      <c r="M27" s="514" t="s">
        <v>401</v>
      </c>
      <c r="N27" s="215"/>
      <c r="O27" s="215"/>
      <c r="P27" s="215"/>
      <c r="Q27" s="215"/>
      <c r="R27" s="215"/>
      <c r="S27" s="215"/>
      <c r="T27" s="215"/>
      <c r="U27" s="215"/>
      <c r="V27" s="215"/>
      <c r="W27" s="515"/>
      <c r="X27" s="516"/>
      <c r="Z27" s="128"/>
      <c r="AA27" s="128" t="str">
        <f t="shared" si="74"/>
        <v xml:space="preserve">Добавить вид теплоносителя (параметры теплоносителя)</v>
      </c>
      <c r="AB27" s="128"/>
      <c r="AC27" s="128"/>
    </row>
    <row r="28" ht="15" customHeight="1">
      <c r="A28" s="478" t="s">
        <v>170</v>
      </c>
      <c r="B28" s="478" t="s">
        <v>171</v>
      </c>
      <c r="C28" s="478" t="s">
        <v>172</v>
      </c>
      <c r="D28" s="478" t="s">
        <v>173</v>
      </c>
      <c r="E28" s="478"/>
      <c r="F28" s="113"/>
      <c r="I28" s="131"/>
      <c r="J28" s="131"/>
      <c r="K28" s="497"/>
      <c r="L28" s="513"/>
      <c r="M28" s="517" t="s">
        <v>402</v>
      </c>
      <c r="N28" s="215"/>
      <c r="O28" s="215"/>
      <c r="P28" s="215"/>
      <c r="Q28" s="215"/>
      <c r="R28" s="215"/>
      <c r="S28" s="215"/>
      <c r="T28" s="215"/>
      <c r="U28" s="215"/>
      <c r="V28" s="518"/>
      <c r="W28" s="215"/>
      <c r="X28" s="519"/>
      <c r="Z28" s="128"/>
      <c r="AA28" s="128" t="str">
        <f t="shared" si="74"/>
        <v xml:space="preserve">Добавить группу потребителей</v>
      </c>
      <c r="AB28" s="128"/>
      <c r="AC28" s="128"/>
    </row>
    <row r="29" ht="14.25" customHeight="1">
      <c r="A29" s="478" t="s">
        <v>170</v>
      </c>
      <c r="B29" s="478" t="s">
        <v>171</v>
      </c>
      <c r="C29" s="478" t="s">
        <v>172</v>
      </c>
      <c r="D29" s="478" t="s">
        <v>173</v>
      </c>
      <c r="E29" s="478"/>
      <c r="F29" s="481"/>
      <c r="G29" s="481"/>
      <c r="H29" s="53"/>
      <c r="I29" s="142"/>
      <c r="J29" s="520"/>
      <c r="K29" s="482"/>
      <c r="L29" s="513"/>
      <c r="M29" s="521" t="s">
        <v>403</v>
      </c>
      <c r="N29" s="215"/>
      <c r="O29" s="215"/>
      <c r="P29" s="215"/>
      <c r="Q29" s="215"/>
      <c r="R29" s="215"/>
      <c r="S29" s="215"/>
      <c r="T29" s="215"/>
      <c r="U29" s="215"/>
      <c r="V29" s="518"/>
      <c r="W29" s="215"/>
      <c r="X29" s="519"/>
      <c r="Z29" s="128"/>
      <c r="AA29" s="128" t="str">
        <f t="shared" si="74"/>
        <v xml:space="preserve">Добавить схему подключения</v>
      </c>
      <c r="AB29" s="128"/>
      <c r="AC29" s="128"/>
    </row>
    <row r="30" ht="14.25" customHeight="1">
      <c r="A30" s="478" t="s">
        <v>170</v>
      </c>
      <c r="B30" s="478" t="s">
        <v>171</v>
      </c>
      <c r="C30" s="478" t="s">
        <v>172</v>
      </c>
      <c r="D30" s="478"/>
      <c r="E30" s="478" t="s">
        <v>568</v>
      </c>
      <c r="F30" s="481"/>
      <c r="G30" s="481"/>
      <c r="H30" s="53"/>
      <c r="I30" s="142"/>
      <c r="J30" s="520"/>
      <c r="K30" s="482"/>
      <c r="L30" s="1319"/>
      <c r="M30" s="1320"/>
      <c r="N30" s="1321"/>
      <c r="O30" s="1321"/>
      <c r="P30" s="1321"/>
      <c r="Q30" s="1321"/>
      <c r="R30" s="1321"/>
      <c r="S30" s="1321"/>
      <c r="T30" s="1321"/>
      <c r="U30" s="1321"/>
      <c r="V30" s="1322"/>
      <c r="W30" s="1321"/>
      <c r="X30" s="1323"/>
      <c r="Z30" s="128"/>
      <c r="AA30" s="128" t="str">
        <f t="shared" si="74"/>
        <v/>
      </c>
      <c r="AB30" s="128"/>
      <c r="AC30" s="128"/>
    </row>
    <row r="31" ht="14.25" customHeight="1">
      <c r="A31" s="478" t="s">
        <v>170</v>
      </c>
      <c r="B31" s="478" t="s">
        <v>171</v>
      </c>
      <c r="C31" s="478"/>
      <c r="D31" s="478"/>
      <c r="E31" s="478" t="s">
        <v>2129</v>
      </c>
      <c r="F31" s="639"/>
      <c r="G31" s="639"/>
      <c r="H31" s="53"/>
      <c r="I31" s="293"/>
      <c r="J31" s="520"/>
      <c r="K31" s="1150"/>
      <c r="L31" s="1319"/>
      <c r="M31" s="1324"/>
      <c r="N31" s="1321"/>
      <c r="O31" s="1321"/>
      <c r="P31" s="1321"/>
      <c r="Q31" s="1321"/>
      <c r="R31" s="1321"/>
      <c r="S31" s="1321"/>
      <c r="T31" s="1321"/>
      <c r="U31" s="1321"/>
      <c r="V31" s="1322"/>
      <c r="W31" s="1321"/>
      <c r="X31" s="1323"/>
      <c r="Z31" s="128"/>
      <c r="AA31" s="128" t="str">
        <f t="shared" si="74"/>
        <v/>
      </c>
      <c r="AB31" s="128"/>
      <c r="AC31" s="128"/>
    </row>
    <row r="32" ht="14.25" customHeight="1">
      <c r="A32" s="478" t="s">
        <v>2130</v>
      </c>
      <c r="B32" s="478"/>
      <c r="C32" s="478"/>
      <c r="D32" s="478"/>
      <c r="E32" s="478" t="s">
        <v>106</v>
      </c>
      <c r="F32" s="639"/>
      <c r="G32" s="639"/>
      <c r="H32" s="53"/>
      <c r="I32" s="142"/>
      <c r="J32" s="520"/>
      <c r="K32" s="482"/>
      <c r="L32" s="1319"/>
      <c r="M32" s="1325"/>
      <c r="N32" s="1321"/>
      <c r="O32" s="1321"/>
      <c r="P32" s="1321"/>
      <c r="Q32" s="1321"/>
      <c r="R32" s="1321"/>
      <c r="S32" s="1321"/>
      <c r="T32" s="1321"/>
      <c r="U32" s="1321"/>
      <c r="V32" s="1322"/>
      <c r="W32" s="1321"/>
      <c r="X32" s="1323"/>
      <c r="Z32" s="128"/>
      <c r="AA32" s="128" t="str">
        <f t="shared" si="74"/>
        <v/>
      </c>
      <c r="AB32" s="128"/>
      <c r="AC32" s="128"/>
    </row>
    <row r="33" s="63" customFormat="1" ht="11.25" customHeight="1">
      <c r="A33" s="478"/>
      <c r="B33" s="478"/>
      <c r="C33" s="478"/>
      <c r="D33" s="478"/>
      <c r="E33" s="478" t="s">
        <v>438</v>
      </c>
      <c r="F33" s="639"/>
      <c r="G33" s="1326"/>
      <c r="H33" s="53"/>
      <c r="L33" s="1327"/>
      <c r="M33" s="1328"/>
      <c r="N33" s="1321"/>
      <c r="O33" s="1321"/>
      <c r="P33" s="1321"/>
      <c r="Q33" s="1321"/>
      <c r="R33" s="1321"/>
      <c r="S33" s="1321"/>
      <c r="T33" s="1321"/>
      <c r="U33" s="1321"/>
      <c r="V33" s="1322"/>
      <c r="W33" s="1321"/>
      <c r="X33" s="1323"/>
      <c r="Y33" s="166"/>
      <c r="Z33" s="166"/>
      <c r="AA33" s="166"/>
      <c r="AB33" s="166"/>
      <c r="AC33" s="166"/>
    </row>
    <row r="34" ht="11.25" customHeight="1">
      <c r="F34" s="53"/>
      <c r="G34" s="53"/>
      <c r="H34" s="53"/>
      <c r="I34" s="50"/>
      <c r="J34" s="50"/>
      <c r="K34" s="50"/>
      <c r="Y34" s="50"/>
      <c r="Z34" s="50"/>
      <c r="AA34" s="50"/>
      <c r="AB34" s="50"/>
      <c r="AC34" s="50"/>
    </row>
    <row r="35" ht="27" customHeight="1">
      <c r="H35" s="53"/>
      <c r="L35" s="572" t="s">
        <v>700</v>
      </c>
      <c r="M35" s="572" t="s">
        <v>2131</v>
      </c>
      <c r="N35" s="572"/>
      <c r="O35" s="572"/>
      <c r="P35" s="572"/>
      <c r="Q35" s="572"/>
      <c r="R35" s="572"/>
      <c r="S35" s="572"/>
      <c r="T35" s="572"/>
      <c r="U35" s="572"/>
      <c r="V35" s="572"/>
      <c r="W35" s="572"/>
      <c r="X35" s="572"/>
    </row>
    <row r="36" ht="104.25" customHeight="1">
      <c r="H36" s="53"/>
      <c r="I36" s="60"/>
      <c r="M36" s="572" t="s">
        <v>2132</v>
      </c>
      <c r="N36" s="572"/>
      <c r="O36" s="572"/>
      <c r="P36" s="572"/>
      <c r="Q36" s="572"/>
      <c r="R36" s="572"/>
      <c r="S36" s="572"/>
      <c r="T36" s="572"/>
      <c r="U36" s="572"/>
      <c r="V36" s="572"/>
      <c r="W36" s="572"/>
      <c r="X36" s="572"/>
    </row>
    <row r="37" ht="14.25" customHeight="1">
      <c r="H37" s="53"/>
    </row>
    <row r="38" ht="14.25" customHeight="1">
      <c r="H38" s="53"/>
    </row>
    <row r="39" ht="14.25" customHeight="1">
      <c r="H39" s="53"/>
    </row>
    <row r="40" ht="14.25" customHeight="1">
      <c r="H40" s="53"/>
    </row>
  </sheetData>
  <sheetProtection autoFilter="0" deleteColumns="0" deleteRows="0" formatCells="1" formatColumns="0" formatRows="0" insertColumns="1" insertHyperlinks="1" insertRows="0" pivotTables="1" selectLockedCells="0" selectUnlockedCells="0" sheet="0" sort="0"/>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4" disablePrompts="0">
    <dataValidation sqref="L131099:X131105 L196635:X196641 L262171:X262177 L327707:X327713 L393243:X393249 L458779:X458785 L524315:X524321 L589851:X589857 L655387:X655393 L720923:X720929 L786459:X786465 L851995:X852001 L917531:X917537 L983067:X983073 L65563:X65569" type="none" allowBlank="1" errorStyle="stop" imeMode="noControl" operator="between" showDropDown="0" showErrorMessage="0" showInputMessage="0"/>
    <dataValidation sqref="R26 R65562 R131098 R196634 R262170 R327706 R393242 R458778 R524314 R589850 R655386 R720922 R786458 R851994 R917530 R983066" type="none" allowBlank="1" errorStyle="stop" imeMode="noControl" operator="between" promptTitle="checkPeriodRange" showDropDown="0" showErrorMessage="0" showInputMessage="0"/>
    <dataValidation sqref="T65561 T131097 T196633 T262169 T327705 T393241 T458777 T524313 T589849 T655385 T720921 T786457 T851993 T917529 T983065 V589849 V655385 V720921 V786457 V851993 V917529 V983065 V65561 V131097 V458777 V196633 V262169 V327705 V393241 V25 T25 V52431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61 S131097 S196633 S262169 S327705 S393241 S458777 S524313 S589849 S655385 S720921 S786457 S851993 S917529 S983065 U65561 U131097 U196633 U262169 U327705 U393241 U458777 U524313 U589849 U655385 U720921 U786457 U851993 U917529 U983065 U25 S25"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D00049-005F-4EDA-B008-00D600650030}" type="list" allowBlank="1" error="Выберите значение из списка" errorStyle="stop" errorTitle="Ошибка" imeMode="noControl" operator="between" showDropDown="0" showErrorMessage="1" showInputMessage="1">
          <x14:formula1>
            <xm:f>kind_of_heat_transfer</xm:f>
          </x14:formula1>
          <xm:sqref>M65561 M131097 M196633 M262169 M327705 M393241 M458777 M524313 M589849 M655385 M720921 M786457 M851993 M917529 M983065</xm:sqref>
        </x14:dataValidation>
        <x14:dataValidation xr:uid="{008B004B-0056-4198-AE09-00CD0095005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330006-0047-492A-BB46-004D0064005D}" type="textLength" allowBlank="1" error="Допускается ввод не более 900 символов!" errorStyle="stop" errorTitle="Ошибка" imeMode="noControl" operator="lessThanOrEqual" showDropDown="0"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34007F-005A-4AAC-AD89-009200E70061}" type="list" allowBlank="1" error="Выберите значение из списка" errorStyle="stop" errorTitle="Ошибка" imeMode="noControl" operator="between" showDropDown="0"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A4" zoomScale="100" workbookViewId="0">
      <selection activeCell="A1" activeCellId="0" sqref="A1"/>
    </sheetView>
  </sheetViews>
  <sheetFormatPr defaultColWidth="10.57421875" defaultRowHeight="14.25" customHeight="1"/>
  <cols>
    <col customWidth="1" min="1" max="1" style="50" width="11.57421875"/>
    <col customWidth="1" min="2" max="2" style="50" width="10.7109375"/>
    <col customWidth="1" min="3" max="3" style="50" width="10.00390625"/>
    <col customWidth="1" min="4" max="4" style="50" width="12.8515625"/>
    <col customWidth="1" min="5" max="5" style="50" width="12.28125"/>
    <col customWidth="1" min="6" max="8" style="60" width="12.28125"/>
    <col customWidth="1" min="9" max="9" style="60" width="3.7109375"/>
    <col customWidth="1" min="10" max="11" style="477" width="3.7109375"/>
    <col customWidth="1" min="12" max="12" style="322" width="12.7109375"/>
    <col customWidth="1" min="13" max="13" style="50" width="32.00390625"/>
    <col customWidth="1" min="14" max="14" style="50" width="1.7109375"/>
    <col customWidth="1" min="15" max="18" style="50" width="24.7109375"/>
    <col customWidth="1" min="19" max="19" style="50" width="11.7109375"/>
    <col customWidth="1" min="20" max="20" style="50" width="3.7109375"/>
    <col customWidth="1" min="21" max="21" style="50" width="11.7109375"/>
    <col customWidth="1" min="22" max="22" style="50" width="8.57421875"/>
    <col customWidth="1" min="23" max="23" style="50" width="4.7109375"/>
    <col customWidth="1" min="24" max="24" style="50" width="115.7109375"/>
    <col min="25" max="26" style="57" width="10.57421875"/>
    <col customWidth="1" min="27" max="27" style="57" width="11.140625"/>
    <col min="28" max="29" style="57" width="10.57421875"/>
  </cols>
  <sheetData>
    <row r="1" ht="14.25" hidden="1" customHeight="1">
      <c r="R1" s="50"/>
      <c r="S1" s="50"/>
    </row>
    <row r="2" ht="14.25" hidden="1" customHeight="1">
      <c r="V2" s="50"/>
    </row>
    <row r="3" ht="14.25" hidden="1" customHeight="1"/>
    <row r="4" ht="14.25" customHeight="1">
      <c r="J4" s="537"/>
      <c r="K4" s="537"/>
      <c r="L4" s="538"/>
      <c r="M4" s="89"/>
      <c r="N4" s="89"/>
      <c r="O4" s="50"/>
      <c r="P4" s="50"/>
      <c r="Q4" s="50"/>
      <c r="R4" s="50"/>
      <c r="S4" s="50"/>
      <c r="T4" s="50"/>
      <c r="U4" s="50"/>
      <c r="V4" s="50"/>
    </row>
    <row r="5" ht="64.5" customHeight="1">
      <c r="J5" s="537"/>
      <c r="K5" s="537"/>
      <c r="L5" s="1311" t="s">
        <v>2127</v>
      </c>
      <c r="M5" s="1311"/>
      <c r="N5" s="1311"/>
      <c r="O5" s="1311"/>
      <c r="P5" s="1311"/>
      <c r="Q5" s="1311"/>
      <c r="R5" s="1311"/>
      <c r="S5" s="1311"/>
      <c r="T5" s="1311"/>
      <c r="U5" s="1311"/>
      <c r="V5" s="241"/>
    </row>
    <row r="6" ht="14.25" customHeight="1">
      <c r="J6" s="537"/>
      <c r="K6" s="537"/>
      <c r="L6" s="1312" t="str">
        <f>IF(org=0,"Не определено",org)</f>
        <v xml:space="preserve">филиал ПАО "ОГК-2" - Адлерская ТЭС</v>
      </c>
      <c r="M6" s="1312"/>
      <c r="N6" s="1312"/>
      <c r="O6" s="1312"/>
      <c r="P6" s="1312"/>
      <c r="Q6" s="1312"/>
      <c r="R6" s="1312"/>
      <c r="S6" s="1312"/>
      <c r="T6" s="1312"/>
      <c r="U6" s="1312"/>
      <c r="V6" s="241"/>
    </row>
    <row r="7" ht="14.25" customHeight="1">
      <c r="J7" s="537"/>
      <c r="K7" s="537"/>
      <c r="L7" s="538"/>
      <c r="M7" s="89"/>
      <c r="N7" s="89"/>
      <c r="O7" s="539"/>
      <c r="P7" s="539"/>
      <c r="Q7" s="539"/>
      <c r="R7" s="539"/>
      <c r="S7" s="539"/>
      <c r="T7" s="539"/>
      <c r="U7" s="539"/>
      <c r="V7" s="539"/>
      <c r="W7" s="50"/>
    </row>
    <row r="8" s="185" customFormat="1" ht="45" customHeight="1">
      <c r="F8" s="106"/>
      <c r="G8" s="106"/>
      <c r="H8" s="106"/>
      <c r="L8" s="1219"/>
      <c r="M8" s="540" t="s">
        <v>38</v>
      </c>
      <c r="N8" s="1203"/>
      <c r="O8" s="542" t="str">
        <f>IF(TITLE_NAME_OR_PR_CHANGE="",IF(TITLE_NAME_OR_PR="","",TITLE_NAME_OR_PR),TITLE_NAME_OR_PR_CHANGE)</f>
        <v/>
      </c>
      <c r="P8" s="542"/>
      <c r="Q8" s="542"/>
      <c r="R8" s="542"/>
      <c r="S8" s="542"/>
      <c r="T8" s="542"/>
      <c r="U8" s="542"/>
      <c r="V8" s="50"/>
      <c r="W8" s="50"/>
      <c r="X8" s="543"/>
      <c r="Y8" s="128"/>
      <c r="Z8" s="128"/>
      <c r="AA8" s="128"/>
      <c r="AB8" s="128"/>
      <c r="AC8" s="128"/>
    </row>
    <row r="9" s="185" customFormat="1" ht="22.5" customHeight="1">
      <c r="F9" s="106"/>
      <c r="G9" s="106"/>
      <c r="H9" s="106"/>
      <c r="L9" s="1219"/>
      <c r="M9" s="540" t="s">
        <v>413</v>
      </c>
      <c r="N9" s="1203"/>
      <c r="O9" s="542" t="str">
        <f>IF(TITLE_DATE_CHANGE_PERIOD="",IF(TITLE_DATE_PR="","",TITLE_DATE_PR),TITLE_DATE_CHANGE_PERIOD)</f>
        <v/>
      </c>
      <c r="P9" s="542"/>
      <c r="Q9" s="542"/>
      <c r="R9" s="542"/>
      <c r="S9" s="542"/>
      <c r="T9" s="542"/>
      <c r="U9" s="542"/>
      <c r="V9" s="50"/>
      <c r="W9" s="50"/>
      <c r="X9" s="543"/>
      <c r="Y9" s="128"/>
      <c r="Z9" s="128"/>
      <c r="AA9" s="128"/>
      <c r="AB9" s="128"/>
      <c r="AC9" s="128"/>
    </row>
    <row r="10" s="185" customFormat="1" ht="22.5" customHeight="1">
      <c r="F10" s="106"/>
      <c r="G10" s="106"/>
      <c r="H10" s="106"/>
      <c r="L10" s="322"/>
      <c r="M10" s="540" t="s">
        <v>414</v>
      </c>
      <c r="N10" s="1203"/>
      <c r="O10" s="542" t="str">
        <f>IF(TITLE_NUMBER_PR_CHANGE="",IF(TITLE_NUMBER_PR="","",TITLE_NUMBER_PR),TITLE_NUMBER_PR_CHANGE)</f>
        <v/>
      </c>
      <c r="P10" s="542"/>
      <c r="Q10" s="542"/>
      <c r="R10" s="542"/>
      <c r="S10" s="542"/>
      <c r="T10" s="542"/>
      <c r="U10" s="542"/>
      <c r="V10" s="50"/>
      <c r="W10" s="50"/>
      <c r="X10" s="543"/>
      <c r="Y10" s="128"/>
      <c r="Z10" s="128"/>
      <c r="AA10" s="128"/>
      <c r="AB10" s="128"/>
      <c r="AC10" s="128"/>
    </row>
    <row r="11" s="185" customFormat="1" ht="22.5" customHeight="1">
      <c r="F11" s="106"/>
      <c r="G11" s="106"/>
      <c r="H11" s="106"/>
      <c r="L11" s="322"/>
      <c r="M11" s="540" t="s">
        <v>39</v>
      </c>
      <c r="N11" s="1203"/>
      <c r="O11" s="542" t="str">
        <f>IF(TITLE_IST_PUB_CHANGE="",IF(TITLE_IST_PUB="","",TITLE_IST_PUB),TITLE_IST_PUB_CHANGE)</f>
        <v/>
      </c>
      <c r="P11" s="542"/>
      <c r="Q11" s="542"/>
      <c r="R11" s="542"/>
      <c r="S11" s="542"/>
      <c r="T11" s="542"/>
      <c r="U11" s="542"/>
      <c r="V11" s="50"/>
      <c r="W11" s="50"/>
      <c r="X11" s="543"/>
      <c r="Y11" s="128"/>
      <c r="Z11" s="128"/>
      <c r="AA11" s="128"/>
      <c r="AB11" s="128"/>
      <c r="AC11" s="128"/>
    </row>
    <row r="12" s="185" customFormat="1" ht="11.25" hidden="1" customHeight="1">
      <c r="F12" s="106"/>
      <c r="G12" s="106"/>
      <c r="H12" s="106"/>
      <c r="L12" s="139"/>
      <c r="M12" s="139"/>
      <c r="N12" s="139"/>
      <c r="O12" s="50"/>
      <c r="P12" s="50"/>
      <c r="Q12" s="50"/>
      <c r="R12" s="50"/>
      <c r="S12" s="50"/>
      <c r="T12" s="50"/>
      <c r="U12" s="50"/>
      <c r="V12" s="57" t="s">
        <v>417</v>
      </c>
      <c r="Y12" s="128"/>
      <c r="Z12" s="128"/>
      <c r="AA12" s="128"/>
      <c r="AB12" s="128"/>
      <c r="AC12" s="128"/>
    </row>
    <row r="13" ht="14.25" customHeight="1">
      <c r="J13" s="537"/>
      <c r="K13" s="537"/>
      <c r="L13" s="538"/>
      <c r="M13" s="89"/>
      <c r="N13" s="545"/>
      <c r="O13" s="546"/>
      <c r="P13" s="546"/>
      <c r="Q13" s="546"/>
      <c r="R13" s="546"/>
      <c r="S13" s="546"/>
      <c r="T13" s="546"/>
      <c r="U13" s="546"/>
      <c r="V13" s="546"/>
    </row>
    <row r="14" ht="14.25" customHeight="1">
      <c r="J14" s="537"/>
      <c r="K14" s="537"/>
      <c r="L14" s="156" t="s">
        <v>288</v>
      </c>
      <c r="M14" s="156"/>
      <c r="N14" s="156"/>
      <c r="O14" s="156"/>
      <c r="P14" s="156"/>
      <c r="Q14" s="156"/>
      <c r="R14" s="156"/>
      <c r="S14" s="156"/>
      <c r="T14" s="156"/>
      <c r="U14" s="156"/>
      <c r="V14" s="156"/>
      <c r="W14" s="156"/>
      <c r="X14" s="156" t="s">
        <v>289</v>
      </c>
    </row>
    <row r="15" ht="14.25" customHeight="1">
      <c r="J15" s="537"/>
      <c r="K15" s="537"/>
      <c r="L15" s="483" t="s">
        <v>85</v>
      </c>
      <c r="M15" s="347" t="s">
        <v>418</v>
      </c>
      <c r="N15" s="547"/>
      <c r="O15" s="548" t="s">
        <v>2128</v>
      </c>
      <c r="P15" s="549"/>
      <c r="Q15" s="549"/>
      <c r="R15" s="549"/>
      <c r="S15" s="549"/>
      <c r="T15" s="549"/>
      <c r="U15" s="550"/>
      <c r="V15" s="551" t="s">
        <v>420</v>
      </c>
      <c r="W15" s="552" t="s">
        <v>1044</v>
      </c>
      <c r="X15" s="156"/>
    </row>
    <row r="16" ht="33.75" customHeight="1">
      <c r="J16" s="537"/>
      <c r="K16" s="537"/>
      <c r="L16" s="483"/>
      <c r="M16" s="347"/>
      <c r="N16" s="553"/>
      <c r="O16" s="306" t="s">
        <v>423</v>
      </c>
      <c r="P16" s="306" t="s">
        <v>424</v>
      </c>
      <c r="Q16" s="73" t="s">
        <v>425</v>
      </c>
      <c r="R16" s="72"/>
      <c r="S16" s="73" t="s">
        <v>439</v>
      </c>
      <c r="T16" s="144"/>
      <c r="U16" s="72"/>
      <c r="V16" s="555"/>
      <c r="W16" s="556"/>
      <c r="X16" s="156"/>
    </row>
    <row r="17" ht="33.75" customHeight="1">
      <c r="A17" s="106" t="s">
        <v>136</v>
      </c>
      <c r="B17" s="106" t="s">
        <v>137</v>
      </c>
      <c r="C17" s="106" t="s">
        <v>138</v>
      </c>
      <c r="D17" s="106" t="s">
        <v>139</v>
      </c>
      <c r="E17" s="106"/>
      <c r="J17" s="537"/>
      <c r="K17" s="537"/>
      <c r="L17" s="483"/>
      <c r="M17" s="347"/>
      <c r="N17" s="557"/>
      <c r="O17" s="161"/>
      <c r="P17" s="161"/>
      <c r="Q17" s="247" t="s">
        <v>434</v>
      </c>
      <c r="R17" s="247" t="s">
        <v>435</v>
      </c>
      <c r="S17" s="247" t="s">
        <v>436</v>
      </c>
      <c r="T17" s="414" t="s">
        <v>437</v>
      </c>
      <c r="U17" s="416"/>
      <c r="V17" s="559"/>
      <c r="W17" s="560"/>
      <c r="X17" s="156"/>
    </row>
    <row r="18" s="130" customFormat="1" ht="11.25" customHeight="1">
      <c r="A18" s="106"/>
      <c r="B18" s="106"/>
      <c r="C18" s="106"/>
      <c r="D18" s="106"/>
      <c r="E18" s="106"/>
      <c r="F18" s="60"/>
      <c r="G18" s="60"/>
      <c r="H18" s="60"/>
      <c r="I18" s="561"/>
      <c r="J18" s="562"/>
      <c r="K18" s="563">
        <v>1</v>
      </c>
      <c r="L18" s="564" t="s">
        <v>111</v>
      </c>
      <c r="M18" s="565" t="s">
        <v>99</v>
      </c>
      <c r="N18" s="566" t="str">
        <f ca="1">OFFSET(N18,0,-1)</f>
        <v>2</v>
      </c>
      <c r="O18" s="567">
        <f ca="1">OFFSET(O18,0,-1)+1</f>
        <v>3</v>
      </c>
      <c r="P18" s="567"/>
      <c r="Q18" s="567">
        <f ca="1">OFFSET(Q18,0,-1)+1</f>
        <v>1</v>
      </c>
      <c r="R18" s="567">
        <f ca="1">OFFSET(R18,0,-1)+1</f>
        <v>2</v>
      </c>
      <c r="S18" s="567">
        <f ca="1">OFFSET(S18,0,-1)+1</f>
        <v>3</v>
      </c>
      <c r="T18" s="567">
        <f ca="1">OFFSET(T18,0,-1)+1</f>
        <v>4</v>
      </c>
      <c r="U18" s="567"/>
      <c r="V18" s="567">
        <f ca="1">OFFSET(V18,0,-2)+1</f>
        <v>5</v>
      </c>
      <c r="W18" s="566">
        <f ca="1">OFFSET(W18,0,-1)</f>
        <v>5</v>
      </c>
      <c r="X18" s="567">
        <f ca="1">OFFSET(X18,0,-1)+1</f>
        <v>6</v>
      </c>
      <c r="Y18" s="57"/>
      <c r="Z18" s="57"/>
      <c r="AA18" s="57"/>
      <c r="AB18" s="57"/>
      <c r="AC18" s="57"/>
    </row>
    <row r="19" ht="21" customHeight="1">
      <c r="A19" s="265" t="s">
        <v>2133</v>
      </c>
      <c r="B19" s="265" t="s">
        <v>2134</v>
      </c>
      <c r="C19" s="265" t="s">
        <v>2135</v>
      </c>
      <c r="D19" s="265" t="s">
        <v>2136</v>
      </c>
      <c r="E19" s="265"/>
      <c r="F19" s="322"/>
      <c r="G19" s="322"/>
      <c r="H19" s="322"/>
      <c r="I19" s="60"/>
      <c r="J19" s="142"/>
      <c r="K19" s="482"/>
      <c r="L19" s="483" t="e">
        <f>INDEX(PT_DIFFERENTIATION_NUM_NTAR,MATCH(A19,PT_DIFFERENTIATION_NTAR_ID,0))</f>
        <v>#VALUE!</v>
      </c>
      <c r="M19" s="484" t="s">
        <v>125</v>
      </c>
      <c r="N19" s="485"/>
      <c r="O19" s="1313" t="e">
        <f>INDEX(PT_DIFFERENTIATION_NTAR,MATCH(A19,PT_DIFFERENTIATION_NTAR_ID,0))</f>
        <v>#VALUE!</v>
      </c>
      <c r="P19" s="1313"/>
      <c r="Q19" s="1313"/>
      <c r="R19" s="1313"/>
      <c r="S19" s="1313"/>
      <c r="T19" s="1313"/>
      <c r="U19" s="1313"/>
      <c r="V19" s="1313"/>
      <c r="W19" s="1313"/>
      <c r="X19" s="489" t="s">
        <v>386</v>
      </c>
      <c r="Z19" s="128"/>
      <c r="AA19" s="128" t="str">
        <f t="shared" ref="AA19:AA32" si="75">IF(M19="","",M19)</f>
        <v xml:space="preserve">Наименование тарифа</v>
      </c>
      <c r="AB19" s="128"/>
      <c r="AC19" s="128"/>
    </row>
    <row r="20" ht="21" customHeight="1">
      <c r="A20" s="265" t="s">
        <v>2133</v>
      </c>
      <c r="B20" s="265" t="s">
        <v>2134</v>
      </c>
      <c r="C20" s="265" t="s">
        <v>2135</v>
      </c>
      <c r="D20" s="265" t="s">
        <v>2136</v>
      </c>
      <c r="E20" s="265"/>
      <c r="F20" s="322"/>
      <c r="G20" s="322"/>
      <c r="H20" s="322"/>
      <c r="I20" s="51"/>
      <c r="J20" s="491"/>
      <c r="K20" s="492"/>
      <c r="L20" s="483" t="e">
        <f>INDEX(PT_DIFFERENTIATION_NUM_TER,MATCH(B19,PT_DIFFERENTIATION_TER_ID,0))</f>
        <v>#VALUE!</v>
      </c>
      <c r="M20" s="493" t="s">
        <v>387</v>
      </c>
      <c r="N20" s="485"/>
      <c r="O20" s="1313" t="e">
        <f>INDEX(PT_DIFFERENTIATION_TER,MATCH(B19,PT_DIFFERENTIATION_TER_ID,0))</f>
        <v>#VALUE!</v>
      </c>
      <c r="P20" s="1313"/>
      <c r="Q20" s="1313"/>
      <c r="R20" s="1313"/>
      <c r="S20" s="1313"/>
      <c r="T20" s="1313"/>
      <c r="U20" s="1313"/>
      <c r="V20" s="1313"/>
      <c r="W20" s="1313"/>
      <c r="X20" s="489" t="s">
        <v>388</v>
      </c>
      <c r="Z20" s="128"/>
      <c r="AA20" s="128" t="str">
        <f t="shared" si="75"/>
        <v xml:space="preserve">Территория действия тарифа</v>
      </c>
      <c r="AB20" s="128"/>
      <c r="AC20" s="128"/>
    </row>
    <row r="21" ht="22.5" customHeight="1">
      <c r="A21" s="265" t="s">
        <v>2133</v>
      </c>
      <c r="B21" s="265" t="s">
        <v>2134</v>
      </c>
      <c r="C21" s="265" t="s">
        <v>2135</v>
      </c>
      <c r="D21" s="265" t="s">
        <v>2136</v>
      </c>
      <c r="E21" s="265"/>
      <c r="F21" s="322"/>
      <c r="G21" s="322"/>
      <c r="H21" s="322"/>
      <c r="I21" s="494"/>
      <c r="J21" s="491"/>
      <c r="K21" s="492"/>
      <c r="L21" s="483" t="e">
        <f>INDEX(PT_DIFFERENTIATION_NUM_CS,MATCH(C19,PT_DIFFERENTIATION_CS_ID,0))</f>
        <v>#VALUE!</v>
      </c>
      <c r="M21" s="495" t="s">
        <v>389</v>
      </c>
      <c r="N21" s="485"/>
      <c r="O21" s="1313" t="e">
        <f>INDEX(PT_DIFFERENTIATION_CS,MATCH(C19,PT_DIFFERENTIATION_CS_ID,0))</f>
        <v>#VALUE!</v>
      </c>
      <c r="P21" s="1313"/>
      <c r="Q21" s="1313"/>
      <c r="R21" s="1313"/>
      <c r="S21" s="1313"/>
      <c r="T21" s="1313"/>
      <c r="U21" s="1313"/>
      <c r="V21" s="1313"/>
      <c r="W21" s="1313"/>
      <c r="X21" s="489" t="s">
        <v>390</v>
      </c>
      <c r="Z21" s="128"/>
      <c r="AA21" s="128" t="str">
        <f t="shared" si="75"/>
        <v xml:space="preserve">Наименование системы теплоснабжения</v>
      </c>
      <c r="AB21" s="128"/>
      <c r="AC21" s="128"/>
    </row>
    <row r="22" ht="21" customHeight="1">
      <c r="A22" s="265" t="s">
        <v>2133</v>
      </c>
      <c r="B22" s="265" t="s">
        <v>2134</v>
      </c>
      <c r="C22" s="265" t="s">
        <v>2135</v>
      </c>
      <c r="D22" s="265" t="s">
        <v>2136</v>
      </c>
      <c r="E22" s="265"/>
      <c r="F22" s="322"/>
      <c r="G22" s="322"/>
      <c r="H22" s="322"/>
      <c r="I22" s="494"/>
      <c r="J22" s="491"/>
      <c r="K22" s="492"/>
      <c r="L22" s="483" t="e">
        <f>INDEX(PT_DIFFERENTIATION_NUM_IST_TE,MATCH(D19,PT_DIFFERENTIATION_IST_TE_ID,0))</f>
        <v>#VALUE!</v>
      </c>
      <c r="M22" s="496" t="s">
        <v>391</v>
      </c>
      <c r="N22" s="485"/>
      <c r="O22" s="1313" t="e">
        <f>INDEX(PT_DIFFERENTIATION_IST_TE,MATCH(D19,PT_DIFFERENTIATION_IST_TE_ID,0))</f>
        <v>#VALUE!</v>
      </c>
      <c r="P22" s="1313"/>
      <c r="Q22" s="1313"/>
      <c r="R22" s="1313"/>
      <c r="S22" s="1313"/>
      <c r="T22" s="1313"/>
      <c r="U22" s="1313"/>
      <c r="V22" s="1313"/>
      <c r="W22" s="1313"/>
      <c r="X22" s="489" t="s">
        <v>392</v>
      </c>
      <c r="Z22" s="128"/>
      <c r="AA22" s="128" t="str">
        <f t="shared" si="75"/>
        <v xml:space="preserve">Источник тепловой энергии</v>
      </c>
      <c r="AB22" s="128"/>
      <c r="AC22" s="128"/>
    </row>
    <row r="23" ht="94.5" customHeight="1">
      <c r="A23" s="265" t="s">
        <v>2133</v>
      </c>
      <c r="B23" s="265" t="s">
        <v>2134</v>
      </c>
      <c r="C23" s="265" t="s">
        <v>2135</v>
      </c>
      <c r="D23" s="265" t="s">
        <v>2136</v>
      </c>
      <c r="E23" s="265"/>
      <c r="F23" s="51" t="e">
        <f>L22&amp;".1"</f>
        <v>#VALUE!</v>
      </c>
      <c r="I23" s="131">
        <v>1</v>
      </c>
      <c r="J23" s="131"/>
      <c r="K23" s="497"/>
      <c r="L23" s="483" t="e">
        <f>$F$23</f>
        <v>#VALUE!</v>
      </c>
      <c r="M23" s="498" t="s">
        <v>394</v>
      </c>
      <c r="N23" s="485"/>
      <c r="O23" s="1314"/>
      <c r="P23" s="1314"/>
      <c r="Q23" s="1314"/>
      <c r="R23" s="1314"/>
      <c r="S23" s="1314"/>
      <c r="T23" s="1314"/>
      <c r="U23" s="1314"/>
      <c r="V23" s="1314"/>
      <c r="W23" s="1314"/>
      <c r="X23" s="489" t="s">
        <v>395</v>
      </c>
      <c r="Z23" s="128"/>
      <c r="AA23" s="128" t="str">
        <f t="shared" si="75"/>
        <v xml:space="preserve">Схема подключения теплопотребляющей установки к коллектору источника тепловой энергии</v>
      </c>
      <c r="AB23" s="128"/>
      <c r="AC23" s="128"/>
    </row>
    <row r="24" ht="84" customHeight="1">
      <c r="A24" s="265" t="s">
        <v>2133</v>
      </c>
      <c r="B24" s="265" t="s">
        <v>2134</v>
      </c>
      <c r="C24" s="265" t="s">
        <v>2135</v>
      </c>
      <c r="D24" s="265" t="s">
        <v>2136</v>
      </c>
      <c r="E24" s="265"/>
      <c r="F24" s="51"/>
      <c r="G24" s="51" t="e">
        <f>F23&amp;".1"</f>
        <v>#VALUE!</v>
      </c>
      <c r="I24" s="131"/>
      <c r="J24" s="131">
        <v>1</v>
      </c>
      <c r="K24" s="502"/>
      <c r="L24" s="483" t="e">
        <f>$G$24</f>
        <v>#VALUE!</v>
      </c>
      <c r="M24" s="503" t="s">
        <v>397</v>
      </c>
      <c r="N24" s="485"/>
      <c r="O24" s="1315"/>
      <c r="P24" s="1316"/>
      <c r="Q24" s="1316"/>
      <c r="R24" s="1316"/>
      <c r="S24" s="1316"/>
      <c r="T24" s="1316"/>
      <c r="U24" s="1316"/>
      <c r="V24" s="1316"/>
      <c r="W24" s="1317"/>
      <c r="X24" s="489" t="s">
        <v>398</v>
      </c>
      <c r="Z24" s="128"/>
      <c r="AA24" s="128" t="str">
        <f t="shared" si="75"/>
        <v xml:space="preserve">Группа потребителей</v>
      </c>
      <c r="AB24" s="128"/>
      <c r="AC24" s="128"/>
    </row>
    <row r="25" ht="11.25" customHeight="1">
      <c r="A25" s="265" t="s">
        <v>2133</v>
      </c>
      <c r="B25" s="265" t="s">
        <v>2134</v>
      </c>
      <c r="C25" s="265" t="s">
        <v>2135</v>
      </c>
      <c r="D25" s="265" t="s">
        <v>2136</v>
      </c>
      <c r="E25" s="265"/>
      <c r="F25" s="51"/>
      <c r="G25" s="51"/>
      <c r="H25" s="51" t="e">
        <f>G24&amp;".1"</f>
        <v>#VALUE!</v>
      </c>
      <c r="I25" s="131"/>
      <c r="J25" s="131"/>
      <c r="K25" s="502">
        <v>1</v>
      </c>
      <c r="L25" s="483" t="e">
        <f>$H$25</f>
        <v>#VALUE!</v>
      </c>
      <c r="M25" s="1318"/>
      <c r="N25" s="485"/>
      <c r="O25" s="505"/>
      <c r="P25" s="506"/>
      <c r="Q25" s="505"/>
      <c r="R25" s="507"/>
      <c r="S25" s="508"/>
      <c r="T25" s="225" t="s">
        <v>56</v>
      </c>
      <c r="U25" s="508"/>
      <c r="V25" s="225" t="s">
        <v>54</v>
      </c>
      <c r="W25" s="506"/>
      <c r="X25" s="509" t="s">
        <v>400</v>
      </c>
      <c r="Y25" s="57" t="e">
        <f>STRCHECKDATE(O26:W26)</f>
        <v>#NAME?</v>
      </c>
      <c r="Z25" s="128"/>
      <c r="AA25" s="128" t="str">
        <f t="shared" si="75"/>
        <v/>
      </c>
      <c r="AB25" s="128"/>
      <c r="AC25" s="128"/>
    </row>
    <row r="26" ht="11.25" customHeight="1">
      <c r="A26" s="265" t="s">
        <v>2133</v>
      </c>
      <c r="B26" s="265" t="s">
        <v>2134</v>
      </c>
      <c r="C26" s="265" t="s">
        <v>2135</v>
      </c>
      <c r="D26" s="265" t="s">
        <v>2136</v>
      </c>
      <c r="E26" s="265"/>
      <c r="F26" s="51"/>
      <c r="G26" s="51"/>
      <c r="H26" s="51"/>
      <c r="I26" s="131"/>
      <c r="J26" s="131"/>
      <c r="K26" s="502"/>
      <c r="L26" s="457"/>
      <c r="M26" s="485"/>
      <c r="N26" s="485"/>
      <c r="O26" s="506"/>
      <c r="P26" s="506"/>
      <c r="Q26" s="506"/>
      <c r="R26" s="510" t="str">
        <f>S25&amp;"-"&amp;U25</f>
        <v>-</v>
      </c>
      <c r="S26" s="511"/>
      <c r="T26" s="225"/>
      <c r="U26" s="511"/>
      <c r="V26" s="225"/>
      <c r="W26" s="506"/>
      <c r="X26" s="512"/>
      <c r="Z26" s="128"/>
      <c r="AA26" s="128" t="str">
        <f t="shared" si="75"/>
        <v/>
      </c>
      <c r="AB26" s="128"/>
      <c r="AC26" s="128"/>
    </row>
    <row r="27" ht="15" customHeight="1">
      <c r="A27" s="265" t="s">
        <v>2133</v>
      </c>
      <c r="B27" s="265" t="s">
        <v>2134</v>
      </c>
      <c r="C27" s="265" t="s">
        <v>2135</v>
      </c>
      <c r="D27" s="265" t="s">
        <v>2136</v>
      </c>
      <c r="E27" s="265"/>
      <c r="F27" s="51"/>
      <c r="G27" s="51"/>
      <c r="I27" s="131"/>
      <c r="J27" s="131"/>
      <c r="K27" s="497"/>
      <c r="L27" s="513"/>
      <c r="M27" s="514" t="s">
        <v>401</v>
      </c>
      <c r="N27" s="215"/>
      <c r="O27" s="215"/>
      <c r="P27" s="215"/>
      <c r="Q27" s="215"/>
      <c r="R27" s="215"/>
      <c r="S27" s="215"/>
      <c r="T27" s="215"/>
      <c r="U27" s="215"/>
      <c r="V27" s="215"/>
      <c r="W27" s="515"/>
      <c r="X27" s="516"/>
      <c r="Z27" s="128"/>
      <c r="AA27" s="128" t="str">
        <f t="shared" si="75"/>
        <v xml:space="preserve">Добавить вид теплоносителя (параметры теплоносителя)</v>
      </c>
      <c r="AB27" s="128"/>
      <c r="AC27" s="128"/>
    </row>
    <row r="28" ht="15" customHeight="1">
      <c r="A28" s="265" t="s">
        <v>2133</v>
      </c>
      <c r="B28" s="265" t="s">
        <v>2134</v>
      </c>
      <c r="C28" s="265" t="s">
        <v>2135</v>
      </c>
      <c r="D28" s="265" t="s">
        <v>2136</v>
      </c>
      <c r="E28" s="265"/>
      <c r="F28" s="51"/>
      <c r="I28" s="131"/>
      <c r="J28" s="131"/>
      <c r="K28" s="497"/>
      <c r="L28" s="513"/>
      <c r="M28" s="517" t="s">
        <v>402</v>
      </c>
      <c r="N28" s="215"/>
      <c r="O28" s="215"/>
      <c r="P28" s="215"/>
      <c r="Q28" s="215"/>
      <c r="R28" s="215"/>
      <c r="S28" s="215"/>
      <c r="T28" s="215"/>
      <c r="U28" s="215"/>
      <c r="V28" s="518"/>
      <c r="W28" s="215"/>
      <c r="X28" s="519"/>
      <c r="Z28" s="128"/>
      <c r="AA28" s="128" t="str">
        <f t="shared" si="75"/>
        <v xml:space="preserve">Добавить группу потребителей</v>
      </c>
      <c r="AB28" s="128"/>
      <c r="AC28" s="128"/>
    </row>
    <row r="29" ht="14.25" customHeight="1">
      <c r="A29" s="265" t="s">
        <v>2133</v>
      </c>
      <c r="B29" s="265" t="s">
        <v>2134</v>
      </c>
      <c r="C29" s="265" t="s">
        <v>2135</v>
      </c>
      <c r="D29" s="265" t="s">
        <v>2136</v>
      </c>
      <c r="E29" s="265"/>
      <c r="F29" s="322"/>
      <c r="G29" s="322"/>
      <c r="H29" s="50"/>
      <c r="I29" s="142"/>
      <c r="J29" s="520"/>
      <c r="K29" s="482"/>
      <c r="L29" s="513"/>
      <c r="M29" s="521" t="s">
        <v>403</v>
      </c>
      <c r="N29" s="215"/>
      <c r="O29" s="215"/>
      <c r="P29" s="215"/>
      <c r="Q29" s="215"/>
      <c r="R29" s="215"/>
      <c r="S29" s="215"/>
      <c r="T29" s="215"/>
      <c r="U29" s="215"/>
      <c r="V29" s="518"/>
      <c r="W29" s="215"/>
      <c r="X29" s="519"/>
      <c r="Z29" s="128"/>
      <c r="AA29" s="128" t="str">
        <f t="shared" si="75"/>
        <v xml:space="preserve">Добавить схему подключения</v>
      </c>
      <c r="AB29" s="128"/>
      <c r="AC29" s="128"/>
    </row>
    <row r="30" ht="14.25" customHeight="1">
      <c r="A30" s="265" t="s">
        <v>2133</v>
      </c>
      <c r="B30" s="265" t="s">
        <v>2134</v>
      </c>
      <c r="C30" s="265" t="s">
        <v>2135</v>
      </c>
      <c r="D30" s="265"/>
      <c r="E30" s="265" t="s">
        <v>568</v>
      </c>
      <c r="F30" s="322"/>
      <c r="G30" s="322"/>
      <c r="H30" s="50"/>
      <c r="I30" s="142"/>
      <c r="J30" s="520"/>
      <c r="K30" s="482"/>
      <c r="L30" s="1319"/>
      <c r="M30" s="1320"/>
      <c r="N30" s="1321"/>
      <c r="O30" s="1321"/>
      <c r="P30" s="1321"/>
      <c r="Q30" s="1321"/>
      <c r="R30" s="1321"/>
      <c r="S30" s="1321"/>
      <c r="T30" s="1321"/>
      <c r="U30" s="1321"/>
      <c r="V30" s="1322"/>
      <c r="W30" s="1321"/>
      <c r="X30" s="1323"/>
      <c r="Z30" s="128"/>
      <c r="AA30" s="128" t="str">
        <f t="shared" si="75"/>
        <v/>
      </c>
      <c r="AB30" s="128"/>
      <c r="AC30" s="128"/>
    </row>
    <row r="31" ht="14.25" customHeight="1">
      <c r="A31" s="265" t="s">
        <v>2133</v>
      </c>
      <c r="B31" s="265" t="s">
        <v>2134</v>
      </c>
      <c r="C31" s="265"/>
      <c r="D31" s="265"/>
      <c r="E31" s="265" t="s">
        <v>2129</v>
      </c>
      <c r="F31" s="1329"/>
      <c r="G31" s="1329"/>
      <c r="H31" s="50"/>
      <c r="I31" s="293"/>
      <c r="J31" s="520"/>
      <c r="K31" s="1150"/>
      <c r="L31" s="1319"/>
      <c r="M31" s="1324"/>
      <c r="N31" s="1321"/>
      <c r="O31" s="1321"/>
      <c r="P31" s="1321"/>
      <c r="Q31" s="1321"/>
      <c r="R31" s="1321"/>
      <c r="S31" s="1321"/>
      <c r="T31" s="1321"/>
      <c r="U31" s="1321"/>
      <c r="V31" s="1322"/>
      <c r="W31" s="1321"/>
      <c r="X31" s="1323"/>
      <c r="Z31" s="128"/>
      <c r="AA31" s="128" t="str">
        <f t="shared" si="75"/>
        <v/>
      </c>
      <c r="AB31" s="128"/>
      <c r="AC31" s="128"/>
    </row>
    <row r="32" ht="14.25" customHeight="1">
      <c r="A32" s="265" t="s">
        <v>2137</v>
      </c>
      <c r="B32" s="265"/>
      <c r="C32" s="265"/>
      <c r="D32" s="265"/>
      <c r="E32" s="265" t="s">
        <v>106</v>
      </c>
      <c r="F32" s="1329"/>
      <c r="G32" s="1329"/>
      <c r="H32" s="50"/>
      <c r="I32" s="142"/>
      <c r="J32" s="520"/>
      <c r="K32" s="482"/>
      <c r="L32" s="1319"/>
      <c r="M32" s="1325"/>
      <c r="N32" s="1321"/>
      <c r="O32" s="1321"/>
      <c r="P32" s="1321"/>
      <c r="Q32" s="1321"/>
      <c r="R32" s="1321"/>
      <c r="S32" s="1321"/>
      <c r="T32" s="1321"/>
      <c r="U32" s="1321"/>
      <c r="V32" s="1322"/>
      <c r="W32" s="1321"/>
      <c r="X32" s="1323"/>
      <c r="Z32" s="128"/>
      <c r="AA32" s="128" t="str">
        <f t="shared" si="75"/>
        <v/>
      </c>
      <c r="AB32" s="128"/>
      <c r="AC32" s="128"/>
    </row>
    <row r="33" s="63" customFormat="1" ht="11.25" customHeight="1">
      <c r="A33" s="265"/>
      <c r="B33" s="265"/>
      <c r="C33" s="265"/>
      <c r="D33" s="265"/>
      <c r="E33" s="265" t="s">
        <v>438</v>
      </c>
      <c r="F33" s="1329"/>
      <c r="G33" s="1256"/>
      <c r="H33" s="50"/>
      <c r="L33" s="1327"/>
      <c r="M33" s="1328"/>
      <c r="N33" s="1321"/>
      <c r="O33" s="1321"/>
      <c r="P33" s="1321"/>
      <c r="Q33" s="1321"/>
      <c r="R33" s="1321"/>
      <c r="S33" s="1321"/>
      <c r="T33" s="1321"/>
      <c r="U33" s="1321"/>
      <c r="V33" s="1322"/>
      <c r="W33" s="1321"/>
      <c r="X33" s="1323"/>
      <c r="Y33" s="166"/>
      <c r="Z33" s="166"/>
      <c r="AA33" s="166"/>
      <c r="AB33" s="166"/>
      <c r="AC33" s="166"/>
    </row>
    <row r="34" ht="11.25" customHeight="1">
      <c r="F34" s="50"/>
      <c r="G34" s="50"/>
      <c r="H34" s="50"/>
      <c r="I34" s="50"/>
      <c r="J34" s="50"/>
      <c r="K34" s="50"/>
      <c r="Y34" s="50"/>
      <c r="Z34" s="50"/>
      <c r="AA34" s="50"/>
      <c r="AB34" s="50"/>
      <c r="AC34" s="50"/>
    </row>
    <row r="35" ht="27" customHeight="1">
      <c r="H35" s="50"/>
      <c r="L35" s="572" t="s">
        <v>700</v>
      </c>
      <c r="M35" s="572" t="s">
        <v>2131</v>
      </c>
      <c r="N35" s="572"/>
      <c r="O35" s="572"/>
      <c r="P35" s="572"/>
      <c r="Q35" s="572"/>
      <c r="R35" s="572"/>
      <c r="S35" s="572"/>
      <c r="T35" s="572"/>
      <c r="U35" s="572"/>
      <c r="V35" s="572"/>
      <c r="W35" s="572"/>
      <c r="X35" s="572"/>
    </row>
    <row r="36" ht="104.25" customHeight="1">
      <c r="F36" s="60"/>
      <c r="G36" s="60"/>
      <c r="H36" s="50"/>
      <c r="I36" s="60"/>
      <c r="M36" s="572" t="s">
        <v>2132</v>
      </c>
      <c r="N36" s="572"/>
      <c r="O36" s="572"/>
      <c r="P36" s="572"/>
      <c r="Q36" s="572"/>
      <c r="R36" s="572"/>
      <c r="S36" s="572"/>
      <c r="T36" s="572"/>
      <c r="U36" s="572"/>
      <c r="V36" s="572"/>
      <c r="W36" s="572"/>
      <c r="X36" s="572"/>
    </row>
    <row r="37" ht="14.25" customHeight="1">
      <c r="H37" s="50"/>
    </row>
    <row r="38" ht="14.25" customHeight="1">
      <c r="H38" s="50"/>
    </row>
    <row r="39" ht="14.25" customHeight="1">
      <c r="H39" s="50"/>
    </row>
    <row r="40" ht="14.25" customHeight="1">
      <c r="H40" s="50"/>
    </row>
  </sheetData>
  <sheetProtection autoFilter="0" deleteColumns="0" deleteRows="0" formatCells="1" formatColumns="0" formatRows="0" insertColumns="1" insertHyperlinks="1" insertRows="0" pivotTables="1" selectLockedCells="0" selectUnlockedCells="0" sheet="0" sort="0"/>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4" disablePrompts="0">
    <dataValidation sqref="S65561 S131097 S196633 S262169 S327705 S393241 S458777 S524313 S589849 S655385 S720921 S786457 S851993 S917529 S983065 U65561 U131097 U196633 U262169 U327705 U393241 U458777 U524313 U589849 U655385 U720921 U786457 U851993 U917529 U983065 U25 S25"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T65561 T131097 T196633 T262169 T327705 T393241 T458777 T524313 T589849 T655385 T720921 T786457 T851993 T917529 T983065 V589849 V655385 V720921 V786457 V851993 V917529 V983065 V65561 V131097 V458777 V196633 V262169 V327705 V393241 V25 T25 V52431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R26 R65562 R131098 R196634 R262170 R327706 R393242 R458778 R524314 R589850 R655386 R720922 R786458 R851994 R917530 R983066" type="none" allowBlank="1" errorStyle="stop" imeMode="noControl" operator="between" promptTitle="checkPeriodRange" showDropDown="0" showErrorMessage="0" showInputMessage="0"/>
    <dataValidation sqref="L131099:X131105 L196635:X196641 L262171:X262177 L327707:X327713 L393243:X393249 L458779:X458785 L524315:X524321 L589851:X589857 L655387:X655393 L720923:X720929 L786459:X786465 L851995:X852001 L917531:X917537 L983067:X983073 L65563:X65569"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100AF-00BC-4990-A084-008B00FB009C}" type="list" allowBlank="1" error="Выберите значение из списка" errorStyle="stop" errorTitle="Ошибка" imeMode="noControl" operator="between" showDropDown="0"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 xr:uid="{002E0007-001D-401B-A847-005D00BD00D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B700E6-0031-47E6-93CB-00E0001000F6}" type="textLength" allowBlank="1" error="Допускается ввод не более 900 символов!" errorStyle="stop" errorTitle="Ошибка" imeMode="noControl" operator="lessThanOrEqual" showDropDown="0"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B70024-0032-425F-BF6D-0020001A0068}" type="list" allowBlank="1" error="Выберите значение из списка" errorStyle="stop" errorTitle="Ошибка" imeMode="noControl" operator="between" showDropDown="0" showErrorMessage="1" showInputMessage="1">
          <x14:formula1>
            <xm:f>kind_of_heat_transfer</xm:f>
          </x14:formula1>
          <xm:sqref>M65561 M131097 M196633 M262169 M327705 M393241 M458777 M524313 M589849 M655385 M720921 M786457 M851993 M917529 M983065</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A4" zoomScale="100" workbookViewId="0">
      <selection activeCell="A1" activeCellId="0" sqref="A1"/>
    </sheetView>
  </sheetViews>
  <sheetFormatPr defaultColWidth="10.57421875" defaultRowHeight="14.25" customHeight="1"/>
  <cols>
    <col min="1" max="1" style="50" width="10.57421875"/>
    <col customWidth="1" min="2" max="2" style="50" width="11.00390625"/>
    <col min="3" max="3" style="50" width="10.57421875"/>
    <col customWidth="1" min="4" max="4" style="50" width="11.8515625"/>
    <col customWidth="1" min="5" max="5" style="50" width="12.28125"/>
    <col customWidth="1" min="6" max="8" style="60" width="12.28125"/>
    <col customWidth="1" min="9" max="9" style="60" width="3.7109375"/>
    <col customWidth="1" min="10" max="11" style="477" width="3.7109375"/>
    <col customWidth="1" min="12" max="12" style="322" width="12.7109375"/>
    <col customWidth="1" min="13" max="13" style="50" width="32.00390625"/>
    <col customWidth="1" min="14" max="14" style="50" width="1.7109375"/>
    <col customWidth="1" min="15" max="18" style="50" width="24.7109375"/>
    <col customWidth="1" min="19" max="19" style="50" width="11.7109375"/>
    <col customWidth="1" min="20" max="20" style="50" width="3.7109375"/>
    <col customWidth="1" min="21" max="21" style="50" width="11.7109375"/>
    <col customWidth="1" min="22" max="22" style="50" width="8.57421875"/>
    <col customWidth="1" min="23" max="23" style="50" width="4.7109375"/>
    <col customWidth="1" min="24" max="24" style="50" width="115.7109375"/>
    <col min="25" max="26" style="57" width="10.57421875"/>
    <col customWidth="1" min="27" max="27" style="57" width="11.140625"/>
    <col min="28" max="29" style="57" width="10.57421875"/>
  </cols>
  <sheetData>
    <row r="1" ht="14.25" hidden="1" customHeight="1">
      <c r="R1" s="50"/>
      <c r="S1" s="50"/>
    </row>
    <row r="2" ht="14.25" hidden="1" customHeight="1">
      <c r="V2" s="50"/>
    </row>
    <row r="3" ht="14.25" hidden="1" customHeight="1"/>
    <row r="4" ht="14.25" customHeight="1">
      <c r="J4" s="537"/>
      <c r="K4" s="537"/>
      <c r="L4" s="538"/>
      <c r="M4" s="89"/>
      <c r="N4" s="89"/>
      <c r="O4" s="50"/>
      <c r="P4" s="50"/>
      <c r="Q4" s="50"/>
      <c r="R4" s="50"/>
      <c r="S4" s="50"/>
      <c r="T4" s="50"/>
      <c r="U4" s="50"/>
      <c r="V4" s="50"/>
    </row>
    <row r="5" ht="64.5" customHeight="1">
      <c r="J5" s="537"/>
      <c r="K5" s="537"/>
      <c r="L5" s="1311" t="s">
        <v>2127</v>
      </c>
      <c r="M5" s="1311"/>
      <c r="N5" s="1311"/>
      <c r="O5" s="1311"/>
      <c r="P5" s="1311"/>
      <c r="Q5" s="1311"/>
      <c r="R5" s="1311"/>
      <c r="S5" s="1311"/>
      <c r="T5" s="1311"/>
      <c r="U5" s="1311"/>
      <c r="V5" s="241"/>
    </row>
    <row r="6" ht="14.25" customHeight="1">
      <c r="J6" s="537"/>
      <c r="K6" s="537"/>
      <c r="L6" s="1312" t="str">
        <f>IF(org=0,"Не определено",org)</f>
        <v xml:space="preserve">филиал ПАО "ОГК-2" - Адлерская ТЭС</v>
      </c>
      <c r="M6" s="1312"/>
      <c r="N6" s="1312"/>
      <c r="O6" s="1312"/>
      <c r="P6" s="1312"/>
      <c r="Q6" s="1312"/>
      <c r="R6" s="1312"/>
      <c r="S6" s="1312"/>
      <c r="T6" s="1312"/>
      <c r="U6" s="1312"/>
      <c r="V6" s="241"/>
    </row>
    <row r="7" ht="14.25" customHeight="1">
      <c r="J7" s="537"/>
      <c r="K7" s="537"/>
      <c r="L7" s="538"/>
      <c r="M7" s="89"/>
      <c r="N7" s="89"/>
      <c r="O7" s="539"/>
      <c r="P7" s="539"/>
      <c r="Q7" s="539"/>
      <c r="R7" s="539"/>
      <c r="S7" s="539"/>
      <c r="T7" s="539"/>
      <c r="U7" s="539"/>
      <c r="V7" s="539"/>
      <c r="W7" s="50"/>
    </row>
    <row r="8" s="185" customFormat="1" ht="45" customHeight="1">
      <c r="F8" s="106"/>
      <c r="G8" s="106"/>
      <c r="H8" s="106"/>
      <c r="L8" s="1219"/>
      <c r="M8" s="540" t="s">
        <v>38</v>
      </c>
      <c r="N8" s="1203"/>
      <c r="O8" s="542" t="str">
        <f>IF(TITLE_NAME_OR_PR_CHANGE="",IF(TITLE_NAME_OR_PR="","",TITLE_NAME_OR_PR),TITLE_NAME_OR_PR_CHANGE)</f>
        <v/>
      </c>
      <c r="P8" s="542"/>
      <c r="Q8" s="542"/>
      <c r="R8" s="542"/>
      <c r="S8" s="542"/>
      <c r="T8" s="542"/>
      <c r="U8" s="542"/>
      <c r="V8" s="50"/>
      <c r="W8" s="50"/>
      <c r="X8" s="543"/>
      <c r="Y8" s="128"/>
      <c r="Z8" s="128"/>
      <c r="AA8" s="128"/>
      <c r="AB8" s="128"/>
      <c r="AC8" s="128"/>
    </row>
    <row r="9" s="185" customFormat="1" ht="22.5" customHeight="1">
      <c r="F9" s="106"/>
      <c r="G9" s="106"/>
      <c r="H9" s="106"/>
      <c r="L9" s="1219"/>
      <c r="M9" s="540" t="s">
        <v>413</v>
      </c>
      <c r="N9" s="1203"/>
      <c r="O9" s="542" t="str">
        <f>IF(TITLE_DATE_CHANGE_PERIOD="",IF(TITLE_DATE_PR="","",TITLE_DATE_PR),TITLE_DATE_CHANGE_PERIOD)</f>
        <v/>
      </c>
      <c r="P9" s="542"/>
      <c r="Q9" s="542"/>
      <c r="R9" s="542"/>
      <c r="S9" s="542"/>
      <c r="T9" s="542"/>
      <c r="U9" s="542"/>
      <c r="V9" s="50"/>
      <c r="W9" s="50"/>
      <c r="X9" s="543"/>
      <c r="Y9" s="128"/>
      <c r="Z9" s="128"/>
      <c r="AA9" s="128"/>
      <c r="AB9" s="128"/>
      <c r="AC9" s="128"/>
    </row>
    <row r="10" s="185" customFormat="1" ht="22.5" customHeight="1">
      <c r="F10" s="106"/>
      <c r="G10" s="106"/>
      <c r="H10" s="106"/>
      <c r="L10" s="322"/>
      <c r="M10" s="540" t="s">
        <v>414</v>
      </c>
      <c r="N10" s="1203"/>
      <c r="O10" s="542" t="str">
        <f>IF(TITLE_NUMBER_PR_CHANGE="",IF(TITLE_NUMBER_PR="","",TITLE_NUMBER_PR),TITLE_NUMBER_PR_CHANGE)</f>
        <v/>
      </c>
      <c r="P10" s="542"/>
      <c r="Q10" s="542"/>
      <c r="R10" s="542"/>
      <c r="S10" s="542"/>
      <c r="T10" s="542"/>
      <c r="U10" s="542"/>
      <c r="V10" s="50"/>
      <c r="W10" s="50"/>
      <c r="X10" s="543"/>
      <c r="Y10" s="128"/>
      <c r="Z10" s="128"/>
      <c r="AA10" s="128"/>
      <c r="AB10" s="128"/>
      <c r="AC10" s="128"/>
    </row>
    <row r="11" s="185" customFormat="1" ht="22.5" customHeight="1">
      <c r="F11" s="106"/>
      <c r="G11" s="106"/>
      <c r="H11" s="106"/>
      <c r="L11" s="322"/>
      <c r="M11" s="540" t="s">
        <v>39</v>
      </c>
      <c r="N11" s="1203"/>
      <c r="O11" s="542" t="str">
        <f>IF(TITLE_IST_PUB_CHANGE="",IF(TITLE_IST_PUB="","",TITLE_IST_PUB),TITLE_IST_PUB_CHANGE)</f>
        <v/>
      </c>
      <c r="P11" s="542"/>
      <c r="Q11" s="542"/>
      <c r="R11" s="542"/>
      <c r="S11" s="542"/>
      <c r="T11" s="542"/>
      <c r="U11" s="542"/>
      <c r="V11" s="50"/>
      <c r="W11" s="50"/>
      <c r="X11" s="543"/>
      <c r="Y11" s="128"/>
      <c r="Z11" s="128"/>
      <c r="AA11" s="128"/>
      <c r="AB11" s="128"/>
      <c r="AC11" s="128"/>
    </row>
    <row r="12" s="185" customFormat="1" ht="11.25" hidden="1" customHeight="1">
      <c r="F12" s="106"/>
      <c r="G12" s="106"/>
      <c r="H12" s="106"/>
      <c r="L12" s="139"/>
      <c r="M12" s="139"/>
      <c r="N12" s="139"/>
      <c r="O12" s="50"/>
      <c r="P12" s="50"/>
      <c r="Q12" s="50"/>
      <c r="R12" s="50"/>
      <c r="S12" s="50"/>
      <c r="T12" s="50"/>
      <c r="U12" s="50"/>
      <c r="V12" s="57" t="s">
        <v>417</v>
      </c>
      <c r="Y12" s="128"/>
      <c r="Z12" s="128"/>
      <c r="AA12" s="128"/>
      <c r="AB12" s="128"/>
      <c r="AC12" s="128"/>
    </row>
    <row r="13" ht="14.25" customHeight="1">
      <c r="J13" s="537"/>
      <c r="K13" s="537"/>
      <c r="L13" s="538"/>
      <c r="M13" s="89"/>
      <c r="N13" s="545"/>
      <c r="O13" s="546"/>
      <c r="P13" s="546"/>
      <c r="Q13" s="546"/>
      <c r="R13" s="546"/>
      <c r="S13" s="546"/>
      <c r="T13" s="546"/>
      <c r="U13" s="546"/>
      <c r="V13" s="546"/>
    </row>
    <row r="14" ht="14.25" customHeight="1">
      <c r="J14" s="537"/>
      <c r="K14" s="537"/>
      <c r="L14" s="156" t="s">
        <v>288</v>
      </c>
      <c r="M14" s="156"/>
      <c r="N14" s="156"/>
      <c r="O14" s="156"/>
      <c r="P14" s="156"/>
      <c r="Q14" s="156"/>
      <c r="R14" s="156"/>
      <c r="S14" s="156"/>
      <c r="T14" s="156"/>
      <c r="U14" s="156"/>
      <c r="V14" s="156"/>
      <c r="W14" s="156"/>
      <c r="X14" s="156" t="s">
        <v>289</v>
      </c>
    </row>
    <row r="15" ht="14.25" customHeight="1">
      <c r="J15" s="537"/>
      <c r="K15" s="537"/>
      <c r="L15" s="483" t="s">
        <v>85</v>
      </c>
      <c r="M15" s="347" t="s">
        <v>418</v>
      </c>
      <c r="N15" s="547"/>
      <c r="O15" s="548" t="s">
        <v>2128</v>
      </c>
      <c r="P15" s="549"/>
      <c r="Q15" s="549"/>
      <c r="R15" s="549"/>
      <c r="S15" s="549"/>
      <c r="T15" s="549"/>
      <c r="U15" s="550"/>
      <c r="V15" s="551" t="s">
        <v>420</v>
      </c>
      <c r="W15" s="552" t="s">
        <v>1044</v>
      </c>
      <c r="X15" s="156"/>
    </row>
    <row r="16" ht="33.75" customHeight="1">
      <c r="J16" s="537"/>
      <c r="K16" s="537"/>
      <c r="L16" s="483"/>
      <c r="M16" s="347"/>
      <c r="N16" s="553"/>
      <c r="O16" s="306" t="s">
        <v>423</v>
      </c>
      <c r="P16" s="306" t="s">
        <v>424</v>
      </c>
      <c r="Q16" s="73" t="s">
        <v>425</v>
      </c>
      <c r="R16" s="72"/>
      <c r="S16" s="73" t="s">
        <v>439</v>
      </c>
      <c r="T16" s="144"/>
      <c r="U16" s="72"/>
      <c r="V16" s="555"/>
      <c r="W16" s="556"/>
      <c r="X16" s="156"/>
    </row>
    <row r="17" ht="33.75" customHeight="1">
      <c r="A17" s="106" t="s">
        <v>136</v>
      </c>
      <c r="B17" s="106" t="s">
        <v>137</v>
      </c>
      <c r="C17" s="106" t="s">
        <v>138</v>
      </c>
      <c r="D17" s="106" t="s">
        <v>139</v>
      </c>
      <c r="E17" s="106"/>
      <c r="J17" s="537"/>
      <c r="K17" s="537"/>
      <c r="L17" s="483"/>
      <c r="M17" s="347"/>
      <c r="N17" s="557"/>
      <c r="O17" s="161"/>
      <c r="P17" s="161"/>
      <c r="Q17" s="247" t="s">
        <v>434</v>
      </c>
      <c r="R17" s="247" t="s">
        <v>435</v>
      </c>
      <c r="S17" s="247" t="s">
        <v>436</v>
      </c>
      <c r="T17" s="414" t="s">
        <v>437</v>
      </c>
      <c r="U17" s="416"/>
      <c r="V17" s="559"/>
      <c r="W17" s="560"/>
      <c r="X17" s="156"/>
    </row>
    <row r="18" s="130" customFormat="1" ht="11.25" customHeight="1">
      <c r="A18" s="106"/>
      <c r="B18" s="106"/>
      <c r="C18" s="106"/>
      <c r="D18" s="106"/>
      <c r="E18" s="106"/>
      <c r="F18" s="60"/>
      <c r="G18" s="60"/>
      <c r="H18" s="60"/>
      <c r="I18" s="561"/>
      <c r="J18" s="562"/>
      <c r="K18" s="563">
        <v>1</v>
      </c>
      <c r="L18" s="564" t="s">
        <v>111</v>
      </c>
      <c r="M18" s="565" t="s">
        <v>99</v>
      </c>
      <c r="N18" s="566" t="str">
        <f ca="1">OFFSET(N18,0,-1)</f>
        <v>2</v>
      </c>
      <c r="O18" s="567">
        <f ca="1">OFFSET(O18,0,-1)+1</f>
        <v>3</v>
      </c>
      <c r="P18" s="567"/>
      <c r="Q18" s="567">
        <f ca="1">OFFSET(Q18,0,-1)+1</f>
        <v>1</v>
      </c>
      <c r="R18" s="567">
        <f ca="1">OFFSET(R18,0,-1)+1</f>
        <v>2</v>
      </c>
      <c r="S18" s="567">
        <f ca="1">OFFSET(S18,0,-1)+1</f>
        <v>3</v>
      </c>
      <c r="T18" s="567">
        <f ca="1">OFFSET(T18,0,-1)+1</f>
        <v>4</v>
      </c>
      <c r="U18" s="567"/>
      <c r="V18" s="567">
        <f ca="1">OFFSET(V18,0,-2)+1</f>
        <v>5</v>
      </c>
      <c r="W18" s="566">
        <f ca="1">OFFSET(W18,0,-1)</f>
        <v>5</v>
      </c>
      <c r="X18" s="567">
        <f ca="1">OFFSET(X18,0,-1)+1</f>
        <v>6</v>
      </c>
      <c r="Y18" s="57"/>
      <c r="Z18" s="57"/>
      <c r="AA18" s="57"/>
      <c r="AB18" s="57"/>
      <c r="AC18" s="57"/>
    </row>
    <row r="19" ht="21" customHeight="1">
      <c r="A19" s="265" t="s">
        <v>2138</v>
      </c>
      <c r="B19" s="265" t="s">
        <v>2139</v>
      </c>
      <c r="C19" s="265" t="s">
        <v>2140</v>
      </c>
      <c r="D19" s="265" t="s">
        <v>2141</v>
      </c>
      <c r="E19" s="265"/>
      <c r="F19" s="322"/>
      <c r="G19" s="322"/>
      <c r="H19" s="322"/>
      <c r="I19" s="60"/>
      <c r="J19" s="142"/>
      <c r="K19" s="482"/>
      <c r="L19" s="483" t="e">
        <f>INDEX(PT_DIFFERENTIATION_NUM_NTAR,MATCH(A19,PT_DIFFERENTIATION_NTAR_ID,0))</f>
        <v>#VALUE!</v>
      </c>
      <c r="M19" s="484" t="s">
        <v>125</v>
      </c>
      <c r="N19" s="485"/>
      <c r="O19" s="1313" t="e">
        <f>INDEX(PT_DIFFERENTIATION_NTAR,MATCH(A19,PT_DIFFERENTIATION_NTAR_ID,0))</f>
        <v>#VALUE!</v>
      </c>
      <c r="P19" s="1313"/>
      <c r="Q19" s="1313"/>
      <c r="R19" s="1313"/>
      <c r="S19" s="1313"/>
      <c r="T19" s="1313"/>
      <c r="U19" s="1313"/>
      <c r="V19" s="1313"/>
      <c r="W19" s="1313"/>
      <c r="X19" s="489" t="s">
        <v>386</v>
      </c>
      <c r="Z19" s="128"/>
      <c r="AA19" s="128" t="str">
        <f t="shared" ref="AA19:AA32" si="76">IF(M19="","",M19)</f>
        <v xml:space="preserve">Наименование тарифа</v>
      </c>
      <c r="AB19" s="128"/>
      <c r="AC19" s="128"/>
    </row>
    <row r="20" ht="21" customHeight="1">
      <c r="A20" s="265" t="s">
        <v>2138</v>
      </c>
      <c r="B20" s="265" t="s">
        <v>2139</v>
      </c>
      <c r="C20" s="265" t="s">
        <v>2140</v>
      </c>
      <c r="D20" s="265" t="s">
        <v>2141</v>
      </c>
      <c r="E20" s="265"/>
      <c r="F20" s="322"/>
      <c r="G20" s="322"/>
      <c r="H20" s="322"/>
      <c r="I20" s="51"/>
      <c r="J20" s="491"/>
      <c r="K20" s="492"/>
      <c r="L20" s="483" t="e">
        <f>INDEX(PT_DIFFERENTIATION_NUM_TER,MATCH(B19,PT_DIFFERENTIATION_TER_ID,0))</f>
        <v>#VALUE!</v>
      </c>
      <c r="M20" s="493" t="s">
        <v>387</v>
      </c>
      <c r="N20" s="485"/>
      <c r="O20" s="1313" t="e">
        <f>INDEX(PT_DIFFERENTIATION_TER,MATCH(B19,PT_DIFFERENTIATION_TER_ID,0))</f>
        <v>#VALUE!</v>
      </c>
      <c r="P20" s="1313"/>
      <c r="Q20" s="1313"/>
      <c r="R20" s="1313"/>
      <c r="S20" s="1313"/>
      <c r="T20" s="1313"/>
      <c r="U20" s="1313"/>
      <c r="V20" s="1313"/>
      <c r="W20" s="1313"/>
      <c r="X20" s="489" t="s">
        <v>388</v>
      </c>
      <c r="Z20" s="128"/>
      <c r="AA20" s="128" t="str">
        <f t="shared" si="76"/>
        <v xml:space="preserve">Территория действия тарифа</v>
      </c>
      <c r="AB20" s="128"/>
      <c r="AC20" s="128"/>
    </row>
    <row r="21" ht="22.5" customHeight="1">
      <c r="A21" s="265" t="s">
        <v>2138</v>
      </c>
      <c r="B21" s="265" t="s">
        <v>2139</v>
      </c>
      <c r="C21" s="265" t="s">
        <v>2140</v>
      </c>
      <c r="D21" s="265" t="s">
        <v>2141</v>
      </c>
      <c r="E21" s="265"/>
      <c r="F21" s="322"/>
      <c r="G21" s="322"/>
      <c r="H21" s="322"/>
      <c r="I21" s="494"/>
      <c r="J21" s="491"/>
      <c r="K21" s="492"/>
      <c r="L21" s="483" t="e">
        <f>INDEX(PT_DIFFERENTIATION_NUM_CS,MATCH(C19,PT_DIFFERENTIATION_CS_ID,0))</f>
        <v>#VALUE!</v>
      </c>
      <c r="M21" s="495" t="s">
        <v>389</v>
      </c>
      <c r="N21" s="485"/>
      <c r="O21" s="1313" t="e">
        <f>INDEX(PT_DIFFERENTIATION_CS,MATCH(C19,PT_DIFFERENTIATION_CS_ID,0))</f>
        <v>#VALUE!</v>
      </c>
      <c r="P21" s="1313"/>
      <c r="Q21" s="1313"/>
      <c r="R21" s="1313"/>
      <c r="S21" s="1313"/>
      <c r="T21" s="1313"/>
      <c r="U21" s="1313"/>
      <c r="V21" s="1313"/>
      <c r="W21" s="1313"/>
      <c r="X21" s="489" t="s">
        <v>390</v>
      </c>
      <c r="Z21" s="128"/>
      <c r="AA21" s="128" t="str">
        <f t="shared" si="76"/>
        <v xml:space="preserve">Наименование системы теплоснабжения</v>
      </c>
      <c r="AB21" s="128"/>
      <c r="AC21" s="128"/>
    </row>
    <row r="22" ht="21" customHeight="1">
      <c r="A22" s="265" t="s">
        <v>2138</v>
      </c>
      <c r="B22" s="265" t="s">
        <v>2139</v>
      </c>
      <c r="C22" s="265" t="s">
        <v>2140</v>
      </c>
      <c r="D22" s="265" t="s">
        <v>2141</v>
      </c>
      <c r="E22" s="265"/>
      <c r="F22" s="322"/>
      <c r="G22" s="322"/>
      <c r="H22" s="322"/>
      <c r="I22" s="494"/>
      <c r="J22" s="491"/>
      <c r="K22" s="492"/>
      <c r="L22" s="483" t="e">
        <f>INDEX(PT_DIFFERENTIATION_NUM_IST_TE,MATCH(D19,PT_DIFFERENTIATION_IST_TE_ID,0))</f>
        <v>#VALUE!</v>
      </c>
      <c r="M22" s="496" t="s">
        <v>391</v>
      </c>
      <c r="N22" s="485"/>
      <c r="O22" s="1313" t="e">
        <f>INDEX(PT_DIFFERENTIATION_IST_TE,MATCH(D19,PT_DIFFERENTIATION_IST_TE_ID,0))</f>
        <v>#VALUE!</v>
      </c>
      <c r="P22" s="1313"/>
      <c r="Q22" s="1313"/>
      <c r="R22" s="1313"/>
      <c r="S22" s="1313"/>
      <c r="T22" s="1313"/>
      <c r="U22" s="1313"/>
      <c r="V22" s="1313"/>
      <c r="W22" s="1313"/>
      <c r="X22" s="489" t="s">
        <v>392</v>
      </c>
      <c r="Z22" s="128"/>
      <c r="AA22" s="128" t="str">
        <f t="shared" si="76"/>
        <v xml:space="preserve">Источник тепловой энергии</v>
      </c>
      <c r="AB22" s="128"/>
      <c r="AC22" s="128"/>
    </row>
    <row r="23" ht="94.5" customHeight="1">
      <c r="A23" s="265" t="s">
        <v>2138</v>
      </c>
      <c r="B23" s="265" t="s">
        <v>2139</v>
      </c>
      <c r="C23" s="265" t="s">
        <v>2140</v>
      </c>
      <c r="D23" s="265" t="s">
        <v>2141</v>
      </c>
      <c r="E23" s="265"/>
      <c r="F23" s="51" t="e">
        <f>L22&amp;".1"</f>
        <v>#VALUE!</v>
      </c>
      <c r="I23" s="131">
        <v>1</v>
      </c>
      <c r="J23" s="131"/>
      <c r="K23" s="497"/>
      <c r="L23" s="483" t="e">
        <f>$F$23</f>
        <v>#VALUE!</v>
      </c>
      <c r="M23" s="498" t="s">
        <v>394</v>
      </c>
      <c r="N23" s="485"/>
      <c r="O23" s="1314"/>
      <c r="P23" s="1314"/>
      <c r="Q23" s="1314"/>
      <c r="R23" s="1314"/>
      <c r="S23" s="1314"/>
      <c r="T23" s="1314"/>
      <c r="U23" s="1314"/>
      <c r="V23" s="1314"/>
      <c r="W23" s="1314"/>
      <c r="X23" s="489" t="s">
        <v>395</v>
      </c>
      <c r="Z23" s="128"/>
      <c r="AA23" s="128" t="str">
        <f t="shared" si="76"/>
        <v xml:space="preserve">Схема подключения теплопотребляющей установки к коллектору источника тепловой энергии</v>
      </c>
      <c r="AB23" s="128"/>
      <c r="AC23" s="128"/>
    </row>
    <row r="24" ht="84" customHeight="1">
      <c r="A24" s="265" t="s">
        <v>2138</v>
      </c>
      <c r="B24" s="265" t="s">
        <v>2139</v>
      </c>
      <c r="C24" s="265" t="s">
        <v>2140</v>
      </c>
      <c r="D24" s="265" t="s">
        <v>2141</v>
      </c>
      <c r="E24" s="265"/>
      <c r="F24" s="51"/>
      <c r="G24" s="51" t="e">
        <f>F23&amp;".1"</f>
        <v>#VALUE!</v>
      </c>
      <c r="I24" s="131"/>
      <c r="J24" s="131">
        <v>1</v>
      </c>
      <c r="K24" s="502"/>
      <c r="L24" s="483" t="e">
        <f>$G$24</f>
        <v>#VALUE!</v>
      </c>
      <c r="M24" s="503" t="s">
        <v>397</v>
      </c>
      <c r="N24" s="485"/>
      <c r="O24" s="1315"/>
      <c r="P24" s="1316"/>
      <c r="Q24" s="1316"/>
      <c r="R24" s="1316"/>
      <c r="S24" s="1316"/>
      <c r="T24" s="1316"/>
      <c r="U24" s="1316"/>
      <c r="V24" s="1316"/>
      <c r="W24" s="1317"/>
      <c r="X24" s="489" t="s">
        <v>398</v>
      </c>
      <c r="Z24" s="128"/>
      <c r="AA24" s="128" t="str">
        <f t="shared" si="76"/>
        <v xml:space="preserve">Группа потребителей</v>
      </c>
      <c r="AB24" s="128"/>
      <c r="AC24" s="128"/>
    </row>
    <row r="25" ht="11.25" customHeight="1">
      <c r="A25" s="265" t="s">
        <v>2138</v>
      </c>
      <c r="B25" s="265" t="s">
        <v>2139</v>
      </c>
      <c r="C25" s="265" t="s">
        <v>2140</v>
      </c>
      <c r="D25" s="265" t="s">
        <v>2141</v>
      </c>
      <c r="E25" s="265"/>
      <c r="F25" s="51"/>
      <c r="G25" s="51"/>
      <c r="H25" s="51" t="e">
        <f>G24&amp;".1"</f>
        <v>#VALUE!</v>
      </c>
      <c r="I25" s="131"/>
      <c r="J25" s="131"/>
      <c r="K25" s="502">
        <v>1</v>
      </c>
      <c r="L25" s="483" t="e">
        <f>$H$25</f>
        <v>#VALUE!</v>
      </c>
      <c r="M25" s="1318"/>
      <c r="N25" s="485"/>
      <c r="O25" s="505"/>
      <c r="P25" s="506"/>
      <c r="Q25" s="505"/>
      <c r="R25" s="507"/>
      <c r="S25" s="508"/>
      <c r="T25" s="225" t="s">
        <v>56</v>
      </c>
      <c r="U25" s="508"/>
      <c r="V25" s="225" t="s">
        <v>54</v>
      </c>
      <c r="W25" s="506"/>
      <c r="X25" s="509" t="s">
        <v>400</v>
      </c>
      <c r="Y25" s="57" t="e">
        <f>STRCHECKDATE(O26:W26)</f>
        <v>#NAME?</v>
      </c>
      <c r="Z25" s="128"/>
      <c r="AA25" s="128" t="str">
        <f t="shared" si="76"/>
        <v/>
      </c>
      <c r="AB25" s="128"/>
      <c r="AC25" s="128"/>
    </row>
    <row r="26" ht="11.25" customHeight="1">
      <c r="A26" s="265" t="s">
        <v>2138</v>
      </c>
      <c r="B26" s="265" t="s">
        <v>2139</v>
      </c>
      <c r="C26" s="265" t="s">
        <v>2140</v>
      </c>
      <c r="D26" s="265" t="s">
        <v>2141</v>
      </c>
      <c r="E26" s="265"/>
      <c r="F26" s="51"/>
      <c r="G26" s="51"/>
      <c r="H26" s="51"/>
      <c r="I26" s="131"/>
      <c r="J26" s="131"/>
      <c r="K26" s="502"/>
      <c r="L26" s="457"/>
      <c r="M26" s="485"/>
      <c r="N26" s="485"/>
      <c r="O26" s="506"/>
      <c r="P26" s="506"/>
      <c r="Q26" s="506"/>
      <c r="R26" s="510" t="str">
        <f>S25&amp;"-"&amp;U25</f>
        <v>-</v>
      </c>
      <c r="S26" s="511"/>
      <c r="T26" s="225"/>
      <c r="U26" s="511"/>
      <c r="V26" s="225"/>
      <c r="W26" s="506"/>
      <c r="X26" s="512"/>
      <c r="Z26" s="128"/>
      <c r="AA26" s="128" t="str">
        <f t="shared" si="76"/>
        <v/>
      </c>
      <c r="AB26" s="128"/>
      <c r="AC26" s="128"/>
    </row>
    <row r="27" ht="15" customHeight="1">
      <c r="A27" s="265" t="s">
        <v>2138</v>
      </c>
      <c r="B27" s="265" t="s">
        <v>2139</v>
      </c>
      <c r="C27" s="265" t="s">
        <v>2140</v>
      </c>
      <c r="D27" s="265" t="s">
        <v>2141</v>
      </c>
      <c r="E27" s="265"/>
      <c r="F27" s="51"/>
      <c r="G27" s="51"/>
      <c r="I27" s="131"/>
      <c r="J27" s="131"/>
      <c r="K27" s="497"/>
      <c r="L27" s="513"/>
      <c r="M27" s="514" t="s">
        <v>401</v>
      </c>
      <c r="N27" s="215"/>
      <c r="O27" s="215"/>
      <c r="P27" s="215"/>
      <c r="Q27" s="215"/>
      <c r="R27" s="215"/>
      <c r="S27" s="215"/>
      <c r="T27" s="215"/>
      <c r="U27" s="215"/>
      <c r="V27" s="215"/>
      <c r="W27" s="515"/>
      <c r="X27" s="516"/>
      <c r="Z27" s="128"/>
      <c r="AA27" s="128" t="str">
        <f t="shared" si="76"/>
        <v xml:space="preserve">Добавить вид теплоносителя (параметры теплоносителя)</v>
      </c>
      <c r="AB27" s="128"/>
      <c r="AC27" s="128"/>
    </row>
    <row r="28" ht="15" customHeight="1">
      <c r="A28" s="265" t="s">
        <v>2138</v>
      </c>
      <c r="B28" s="265" t="s">
        <v>2139</v>
      </c>
      <c r="C28" s="265" t="s">
        <v>2140</v>
      </c>
      <c r="D28" s="265" t="s">
        <v>2141</v>
      </c>
      <c r="E28" s="265"/>
      <c r="F28" s="51"/>
      <c r="I28" s="131"/>
      <c r="J28" s="131"/>
      <c r="K28" s="497"/>
      <c r="L28" s="513"/>
      <c r="M28" s="517" t="s">
        <v>402</v>
      </c>
      <c r="N28" s="215"/>
      <c r="O28" s="215"/>
      <c r="P28" s="215"/>
      <c r="Q28" s="215"/>
      <c r="R28" s="215"/>
      <c r="S28" s="215"/>
      <c r="T28" s="215"/>
      <c r="U28" s="215"/>
      <c r="V28" s="518"/>
      <c r="W28" s="215"/>
      <c r="X28" s="519"/>
      <c r="Z28" s="128"/>
      <c r="AA28" s="128" t="str">
        <f t="shared" si="76"/>
        <v xml:space="preserve">Добавить группу потребителей</v>
      </c>
      <c r="AB28" s="128"/>
      <c r="AC28" s="128"/>
    </row>
    <row r="29" ht="14.25" customHeight="1">
      <c r="A29" s="265" t="s">
        <v>2138</v>
      </c>
      <c r="B29" s="265" t="s">
        <v>2139</v>
      </c>
      <c r="C29" s="265" t="s">
        <v>2140</v>
      </c>
      <c r="D29" s="265" t="s">
        <v>2141</v>
      </c>
      <c r="E29" s="265"/>
      <c r="F29" s="322"/>
      <c r="G29" s="322"/>
      <c r="H29" s="50"/>
      <c r="I29" s="142"/>
      <c r="J29" s="520"/>
      <c r="K29" s="482"/>
      <c r="L29" s="513"/>
      <c r="M29" s="521" t="s">
        <v>403</v>
      </c>
      <c r="N29" s="215"/>
      <c r="O29" s="215"/>
      <c r="P29" s="215"/>
      <c r="Q29" s="215"/>
      <c r="R29" s="215"/>
      <c r="S29" s="215"/>
      <c r="T29" s="215"/>
      <c r="U29" s="215"/>
      <c r="V29" s="518"/>
      <c r="W29" s="215"/>
      <c r="X29" s="519"/>
      <c r="Z29" s="128"/>
      <c r="AA29" s="128" t="str">
        <f t="shared" si="76"/>
        <v xml:space="preserve">Добавить схему подключения</v>
      </c>
      <c r="AB29" s="128"/>
      <c r="AC29" s="128"/>
    </row>
    <row r="30" ht="14.25" customHeight="1">
      <c r="A30" s="265" t="s">
        <v>2138</v>
      </c>
      <c r="B30" s="265" t="s">
        <v>2139</v>
      </c>
      <c r="C30" s="265" t="s">
        <v>2140</v>
      </c>
      <c r="D30" s="265"/>
      <c r="E30" s="265" t="s">
        <v>568</v>
      </c>
      <c r="F30" s="322"/>
      <c r="G30" s="322"/>
      <c r="H30" s="50"/>
      <c r="I30" s="142"/>
      <c r="J30" s="520"/>
      <c r="K30" s="482"/>
      <c r="L30" s="1319"/>
      <c r="M30" s="1320"/>
      <c r="N30" s="1321"/>
      <c r="O30" s="1321"/>
      <c r="P30" s="1321"/>
      <c r="Q30" s="1321"/>
      <c r="R30" s="1321"/>
      <c r="S30" s="1321"/>
      <c r="T30" s="1321"/>
      <c r="U30" s="1321"/>
      <c r="V30" s="1322"/>
      <c r="W30" s="1321"/>
      <c r="X30" s="1323"/>
      <c r="Z30" s="128"/>
      <c r="AA30" s="128" t="str">
        <f t="shared" si="76"/>
        <v/>
      </c>
      <c r="AB30" s="128"/>
      <c r="AC30" s="128"/>
    </row>
    <row r="31" ht="14.25" customHeight="1">
      <c r="A31" s="265" t="s">
        <v>2138</v>
      </c>
      <c r="B31" s="265" t="s">
        <v>2139</v>
      </c>
      <c r="C31" s="265"/>
      <c r="D31" s="265"/>
      <c r="E31" s="265" t="s">
        <v>2129</v>
      </c>
      <c r="F31" s="1329"/>
      <c r="G31" s="1329"/>
      <c r="H31" s="50"/>
      <c r="I31" s="293"/>
      <c r="J31" s="520"/>
      <c r="K31" s="1150"/>
      <c r="L31" s="1319"/>
      <c r="M31" s="1324"/>
      <c r="N31" s="1321"/>
      <c r="O31" s="1321"/>
      <c r="P31" s="1321"/>
      <c r="Q31" s="1321"/>
      <c r="R31" s="1321"/>
      <c r="S31" s="1321"/>
      <c r="T31" s="1321"/>
      <c r="U31" s="1321"/>
      <c r="V31" s="1322"/>
      <c r="W31" s="1321"/>
      <c r="X31" s="1323"/>
      <c r="Z31" s="128"/>
      <c r="AA31" s="128" t="str">
        <f t="shared" si="76"/>
        <v/>
      </c>
      <c r="AB31" s="128"/>
      <c r="AC31" s="128"/>
    </row>
    <row r="32" ht="14.25" customHeight="1">
      <c r="A32" s="265" t="s">
        <v>2142</v>
      </c>
      <c r="B32" s="265"/>
      <c r="C32" s="265"/>
      <c r="D32" s="265"/>
      <c r="E32" s="265" t="s">
        <v>106</v>
      </c>
      <c r="F32" s="1329"/>
      <c r="G32" s="1329"/>
      <c r="H32" s="50"/>
      <c r="I32" s="142"/>
      <c r="J32" s="520"/>
      <c r="K32" s="482"/>
      <c r="L32" s="1319"/>
      <c r="M32" s="1325"/>
      <c r="N32" s="1321"/>
      <c r="O32" s="1321"/>
      <c r="P32" s="1321"/>
      <c r="Q32" s="1321"/>
      <c r="R32" s="1321"/>
      <c r="S32" s="1321"/>
      <c r="T32" s="1321"/>
      <c r="U32" s="1321"/>
      <c r="V32" s="1322"/>
      <c r="W32" s="1321"/>
      <c r="X32" s="1323"/>
      <c r="Z32" s="128"/>
      <c r="AA32" s="128" t="str">
        <f t="shared" si="76"/>
        <v/>
      </c>
      <c r="AB32" s="128"/>
      <c r="AC32" s="128"/>
    </row>
    <row r="33" s="63" customFormat="1" ht="11.25" customHeight="1">
      <c r="A33" s="265"/>
      <c r="B33" s="265"/>
      <c r="C33" s="265"/>
      <c r="D33" s="265"/>
      <c r="E33" s="265" t="s">
        <v>438</v>
      </c>
      <c r="F33" s="1329"/>
      <c r="G33" s="1256"/>
      <c r="H33" s="50"/>
      <c r="L33" s="1327"/>
      <c r="M33" s="1328"/>
      <c r="N33" s="1321"/>
      <c r="O33" s="1321"/>
      <c r="P33" s="1321"/>
      <c r="Q33" s="1321"/>
      <c r="R33" s="1321"/>
      <c r="S33" s="1321"/>
      <c r="T33" s="1321"/>
      <c r="U33" s="1321"/>
      <c r="V33" s="1322"/>
      <c r="W33" s="1321"/>
      <c r="X33" s="1323"/>
      <c r="Y33" s="166"/>
      <c r="Z33" s="166"/>
      <c r="AA33" s="166"/>
      <c r="AB33" s="166"/>
      <c r="AC33" s="166"/>
    </row>
    <row r="34" ht="11.25" customHeight="1">
      <c r="F34" s="50"/>
      <c r="G34" s="50"/>
      <c r="H34" s="50"/>
      <c r="I34" s="50"/>
      <c r="J34" s="50"/>
      <c r="K34" s="50"/>
      <c r="Y34" s="50"/>
      <c r="Z34" s="50"/>
      <c r="AA34" s="50"/>
      <c r="AB34" s="50"/>
      <c r="AC34" s="50"/>
    </row>
    <row r="35" ht="27" customHeight="1">
      <c r="H35" s="50"/>
      <c r="L35" s="572" t="s">
        <v>700</v>
      </c>
      <c r="M35" s="572" t="s">
        <v>2131</v>
      </c>
      <c r="N35" s="572"/>
      <c r="O35" s="572"/>
      <c r="P35" s="572"/>
      <c r="Q35" s="572"/>
      <c r="R35" s="572"/>
      <c r="S35" s="572"/>
      <c r="T35" s="572"/>
      <c r="U35" s="572"/>
      <c r="V35" s="572"/>
      <c r="W35" s="572"/>
      <c r="X35" s="572"/>
    </row>
    <row r="36" ht="104.25" customHeight="1">
      <c r="F36" s="60"/>
      <c r="G36" s="60"/>
      <c r="H36" s="50"/>
      <c r="I36" s="60"/>
      <c r="M36" s="572" t="s">
        <v>2132</v>
      </c>
      <c r="N36" s="572"/>
      <c r="O36" s="572"/>
      <c r="P36" s="572"/>
      <c r="Q36" s="572"/>
      <c r="R36" s="572"/>
      <c r="S36" s="572"/>
      <c r="T36" s="572"/>
      <c r="U36" s="572"/>
      <c r="V36" s="572"/>
      <c r="W36" s="572"/>
      <c r="X36" s="572"/>
    </row>
    <row r="37" ht="14.25" customHeight="1">
      <c r="H37" s="50"/>
    </row>
    <row r="38" ht="14.25" customHeight="1">
      <c r="H38" s="50"/>
    </row>
    <row r="39" ht="14.25" customHeight="1">
      <c r="H39" s="50"/>
    </row>
    <row r="40" ht="14.25" customHeight="1">
      <c r="H40" s="50"/>
    </row>
  </sheetData>
  <sheetProtection autoFilter="0" deleteColumns="0" deleteRows="0" formatCells="1" formatColumns="0" formatRows="0" insertColumns="1" insertHyperlinks="1" insertRows="0" pivotTables="1" selectLockedCells="0" selectUnlockedCells="0" sheet="0" sort="0"/>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4" disablePrompts="0">
    <dataValidation sqref="L131099:X131105 L196635:X196641 L262171:X262177 L327707:X327713 L393243:X393249 L458779:X458785 L524315:X524321 L589851:X589857 L655387:X655393 L720923:X720929 L786459:X786465 L851995:X852001 L917531:X917537 L983067:X983073 L65563:X65569" type="none" allowBlank="1" errorStyle="stop" imeMode="noControl" operator="between" showDropDown="0" showErrorMessage="0" showInputMessage="0"/>
    <dataValidation sqref="R26 R65562 R131098 R196634 R262170 R327706 R393242 R458778 R524314 R589850 R655386 R720922 R786458 R851994 R917530 R983066" type="none" allowBlank="1" errorStyle="stop" imeMode="noControl" operator="between" promptTitle="checkPeriodRange" showDropDown="0" showErrorMessage="0" showInputMessage="0"/>
    <dataValidation sqref="T65561 T131097 T196633 T262169 T327705 T393241 T458777 T524313 T589849 T655385 T720921 T786457 T851993 T917529 T983065 V589849 V655385 V720921 V786457 V851993 V917529 V983065 V65561 V131097 V458777 V196633 V262169 V327705 V393241 V25 T25 V52431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61 S131097 S196633 S262169 S327705 S393241 S458777 S524313 S589849 S655385 S720921 S786457 S851993 S917529 S983065 U65561 U131097 U196633 U262169 U327705 U393241 U458777 U524313 U589849 U655385 U720921 U786457 U851993 U917529 U983065 U25 S25"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2008B-005D-4145-B76A-00DD00C700B5}" type="list" allowBlank="1" error="Выберите значение из списка" errorStyle="stop" errorTitle="Ошибка" imeMode="noControl" operator="between" showDropDown="0" showErrorMessage="1" showInputMessage="1">
          <x14:formula1>
            <xm:f>kind_of_heat_transfer</xm:f>
          </x14:formula1>
          <xm:sqref>M65561 M131097 M196633 M262169 M327705 M393241 M458777 M524313 M589849 M655385 M720921 M786457 M851993 M917529 M983065</xm:sqref>
        </x14:dataValidation>
        <x14:dataValidation xr:uid="{004B0059-0071-4F2F-AA69-000B004500F9}" type="textLength" allowBlank="1" error="Допускается ввод не более 900 символов!" errorStyle="stop" errorTitle="Ошибка" imeMode="noControl" operator="lessThanOrEqual" showDropDown="0"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8E00C0-0033-4806-ABEE-00530086006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A80065-00EC-4186-86E9-009000C200B3}" type="list" allowBlank="1" error="Выберите значение из списка" errorStyle="stop" errorTitle="Ошибка" imeMode="noControl" operator="between" showDropDown="0"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A4" zoomScale="100" workbookViewId="0">
      <selection activeCell="A1" activeCellId="0" sqref="A1"/>
    </sheetView>
  </sheetViews>
  <sheetFormatPr defaultColWidth="10.57421875" defaultRowHeight="14.25" customHeight="1"/>
  <cols>
    <col min="1" max="6" style="57" width="10.57421875"/>
    <col customWidth="1" min="7" max="8" style="586" width="9.140625"/>
    <col customWidth="1" min="9" max="9" style="60" width="3.7109375"/>
    <col customWidth="1" min="10" max="11" style="477" width="3.7109375"/>
    <col customWidth="1" min="12" max="12" style="50" width="12.7109375"/>
    <col customWidth="1" min="13" max="13" style="50" width="47.421875"/>
    <col customWidth="1" hidden="1" min="14" max="14" style="50" width="2.7109375"/>
    <col customWidth="1" min="15" max="18" style="50" width="23.7109375"/>
    <col customWidth="1" min="19" max="19" style="50" width="11.7109375"/>
    <col customWidth="1" min="20" max="20" style="50" width="3.7109375"/>
    <col customWidth="1" min="21" max="21" style="50" width="11.7109375"/>
    <col customWidth="1" hidden="1" min="22" max="22" style="50" width="8.57421875"/>
    <col customWidth="1" min="23" max="23" style="50" width="4.7109375"/>
    <col customWidth="1" min="24" max="24" style="50" width="115.7109375"/>
    <col min="25" max="29" style="57" width="10.57421875"/>
  </cols>
  <sheetData>
    <row r="1" ht="14.25" hidden="1" customHeight="1"/>
    <row r="2" ht="14.25" hidden="1" customHeight="1"/>
    <row r="3" ht="14.25" hidden="1" customHeight="1"/>
    <row r="4" ht="14.25" customHeight="1">
      <c r="J4" s="537"/>
      <c r="K4" s="537"/>
      <c r="L4" s="89"/>
      <c r="M4" s="89"/>
      <c r="N4" s="89"/>
      <c r="O4" s="50"/>
      <c r="P4" s="50"/>
      <c r="Q4" s="50"/>
      <c r="R4" s="50"/>
      <c r="S4" s="50"/>
      <c r="T4" s="50"/>
      <c r="U4" s="50"/>
      <c r="V4" s="89"/>
    </row>
    <row r="5" ht="14.25" customHeight="1">
      <c r="J5" s="537"/>
      <c r="K5" s="537"/>
      <c r="L5" s="1330" t="s">
        <v>2143</v>
      </c>
      <c r="M5" s="1330"/>
      <c r="N5" s="1330"/>
      <c r="O5" s="1330"/>
      <c r="P5" s="1330"/>
      <c r="Q5" s="1330"/>
      <c r="R5" s="1330"/>
      <c r="S5" s="1330"/>
      <c r="T5" s="1330"/>
      <c r="U5" s="454"/>
      <c r="V5" s="454"/>
    </row>
    <row r="6" ht="14.25" customHeight="1">
      <c r="J6" s="537"/>
      <c r="K6" s="537"/>
      <c r="L6" s="89"/>
      <c r="M6" s="89"/>
      <c r="N6" s="89"/>
      <c r="O6" s="539"/>
      <c r="P6" s="539"/>
      <c r="Q6" s="539"/>
      <c r="R6" s="539"/>
      <c r="S6" s="539"/>
      <c r="T6" s="539"/>
      <c r="U6" s="89"/>
    </row>
    <row r="7" s="185" customFormat="1" ht="22.5" customHeight="1">
      <c r="A7" s="128"/>
      <c r="B7" s="128"/>
      <c r="C7" s="128"/>
      <c r="D7" s="128"/>
      <c r="E7" s="128"/>
      <c r="F7" s="128"/>
      <c r="G7" s="128"/>
      <c r="H7" s="128"/>
      <c r="L7" s="268"/>
      <c r="M7" s="540" t="s">
        <v>38</v>
      </c>
      <c r="N7" s="1203"/>
      <c r="O7" s="1331" t="e">
        <f>IF(NameOrPr_ch="",IF(NameOrPr="","",NameOrPr),NameOrPr_ch)</f>
        <v>#NAME?</v>
      </c>
      <c r="P7" s="1332"/>
      <c r="Q7" s="1332"/>
      <c r="R7" s="1332"/>
      <c r="S7" s="1332"/>
      <c r="T7" s="1333"/>
      <c r="U7" s="1334"/>
      <c r="Y7" s="128"/>
      <c r="Z7" s="128"/>
      <c r="AA7" s="128"/>
      <c r="AB7" s="128"/>
      <c r="AC7" s="128"/>
    </row>
    <row r="8" s="185" customFormat="1" ht="18.75" customHeight="1">
      <c r="A8" s="128"/>
      <c r="B8" s="128"/>
      <c r="C8" s="128"/>
      <c r="D8" s="128"/>
      <c r="E8" s="128"/>
      <c r="F8" s="128"/>
      <c r="G8" s="128"/>
      <c r="H8" s="128"/>
      <c r="L8" s="268"/>
      <c r="M8" s="540" t="s">
        <v>413</v>
      </c>
      <c r="N8" s="1203"/>
      <c r="O8" s="1331" t="e">
        <f>IF(datePr_ch="",IF(datePr="","",datePr),datePr_ch)</f>
        <v>#NAME?</v>
      </c>
      <c r="P8" s="1332"/>
      <c r="Q8" s="1332"/>
      <c r="R8" s="1332"/>
      <c r="S8" s="1332"/>
      <c r="T8" s="1333"/>
      <c r="U8" s="1334"/>
      <c r="Y8" s="128"/>
      <c r="Z8" s="128"/>
      <c r="AA8" s="128"/>
      <c r="AB8" s="128"/>
      <c r="AC8" s="128"/>
    </row>
    <row r="9" s="185" customFormat="1" ht="18.75" customHeight="1">
      <c r="A9" s="128"/>
      <c r="B9" s="128"/>
      <c r="C9" s="128"/>
      <c r="D9" s="128"/>
      <c r="E9" s="128"/>
      <c r="F9" s="128"/>
      <c r="G9" s="128"/>
      <c r="H9" s="128"/>
      <c r="L9" s="50"/>
      <c r="M9" s="540" t="s">
        <v>414</v>
      </c>
      <c r="N9" s="1203"/>
      <c r="O9" s="1331" t="e">
        <f>IF(numberPr_ch="",IF(numberPr="","",numberPr),numberPr_ch)</f>
        <v>#NAME?</v>
      </c>
      <c r="P9" s="1332"/>
      <c r="Q9" s="1332"/>
      <c r="R9" s="1332"/>
      <c r="S9" s="1332"/>
      <c r="T9" s="1333"/>
      <c r="U9" s="1334"/>
      <c r="Y9" s="128"/>
      <c r="Z9" s="128"/>
      <c r="AA9" s="128"/>
      <c r="AB9" s="128"/>
      <c r="AC9" s="128"/>
    </row>
    <row r="10" s="185" customFormat="1" ht="18.75" customHeight="1">
      <c r="A10" s="128"/>
      <c r="B10" s="128"/>
      <c r="C10" s="128"/>
      <c r="D10" s="128"/>
      <c r="E10" s="128"/>
      <c r="F10" s="128"/>
      <c r="G10" s="128"/>
      <c r="H10" s="128"/>
      <c r="L10" s="50"/>
      <c r="M10" s="540" t="s">
        <v>39</v>
      </c>
      <c r="N10" s="1203"/>
      <c r="O10" s="1331" t="e">
        <f>IF(IstPub_ch="",IF(IstPub="","",IstPub),IstPub_ch)</f>
        <v>#NAME?</v>
      </c>
      <c r="P10" s="1332"/>
      <c r="Q10" s="1332"/>
      <c r="R10" s="1332"/>
      <c r="S10" s="1332"/>
      <c r="T10" s="1333"/>
      <c r="U10" s="1334"/>
      <c r="Y10" s="128"/>
      <c r="Z10" s="128"/>
      <c r="AA10" s="128"/>
      <c r="AB10" s="128"/>
      <c r="AC10" s="128"/>
    </row>
    <row r="11" s="185" customFormat="1" ht="18.75" hidden="1" customHeight="1">
      <c r="A11" s="128"/>
      <c r="B11" s="128"/>
      <c r="C11" s="128"/>
      <c r="D11" s="128"/>
      <c r="E11" s="128"/>
      <c r="F11" s="128"/>
      <c r="G11" s="128"/>
      <c r="H11" s="128"/>
      <c r="L11" s="50"/>
      <c r="M11" s="1335"/>
      <c r="O11" s="120"/>
      <c r="P11" s="120"/>
      <c r="Q11" s="128" t="s">
        <v>2144</v>
      </c>
      <c r="R11" s="128" t="s">
        <v>2145</v>
      </c>
      <c r="S11" s="120"/>
      <c r="T11" s="120"/>
      <c r="U11" s="1334"/>
      <c r="Y11" s="128"/>
      <c r="Z11" s="128"/>
      <c r="AA11" s="128"/>
      <c r="AB11" s="128"/>
      <c r="AC11" s="128"/>
    </row>
    <row r="12" s="185" customFormat="1" ht="11.25" hidden="1" customHeight="1">
      <c r="A12" s="128"/>
      <c r="B12" s="128"/>
      <c r="C12" s="128"/>
      <c r="D12" s="128"/>
      <c r="E12" s="128"/>
      <c r="F12" s="128"/>
      <c r="G12" s="128"/>
      <c r="H12" s="128"/>
      <c r="L12" s="139"/>
      <c r="M12" s="139"/>
      <c r="N12" s="139"/>
      <c r="O12" s="50"/>
      <c r="P12" s="50"/>
      <c r="Q12" s="50"/>
      <c r="R12" s="50"/>
      <c r="S12" s="50"/>
      <c r="T12" s="50"/>
      <c r="U12" s="322"/>
      <c r="V12" s="57" t="s">
        <v>417</v>
      </c>
      <c r="Y12" s="128"/>
      <c r="Z12" s="128"/>
      <c r="AA12" s="128"/>
      <c r="AB12" s="128"/>
      <c r="AC12" s="128"/>
    </row>
    <row r="13" ht="14.25" customHeight="1">
      <c r="J13" s="537"/>
      <c r="K13" s="537"/>
      <c r="L13" s="89"/>
      <c r="M13" s="89"/>
      <c r="N13" s="89"/>
      <c r="O13" s="1336"/>
      <c r="P13" s="1336"/>
      <c r="Q13" s="203"/>
      <c r="R13" s="203"/>
      <c r="S13" s="203"/>
      <c r="T13" s="203"/>
      <c r="U13" s="203"/>
      <c r="V13" s="203"/>
    </row>
    <row r="14" ht="14.25" customHeight="1">
      <c r="J14" s="537"/>
      <c r="K14" s="537"/>
      <c r="L14" s="156" t="s">
        <v>288</v>
      </c>
      <c r="M14" s="156"/>
      <c r="N14" s="156"/>
      <c r="O14" s="156"/>
      <c r="P14" s="156"/>
      <c r="Q14" s="156"/>
      <c r="R14" s="156"/>
      <c r="S14" s="156"/>
      <c r="T14" s="156"/>
      <c r="U14" s="156"/>
      <c r="V14" s="156"/>
      <c r="W14" s="156"/>
      <c r="X14" s="156" t="s">
        <v>289</v>
      </c>
    </row>
    <row r="15" ht="14.25" customHeight="1">
      <c r="J15" s="537"/>
      <c r="K15" s="537"/>
      <c r="L15" s="347" t="s">
        <v>85</v>
      </c>
      <c r="M15" s="347" t="s">
        <v>2146</v>
      </c>
      <c r="N15" s="347"/>
      <c r="O15" s="347" t="s">
        <v>2147</v>
      </c>
      <c r="P15" s="346" t="s">
        <v>2148</v>
      </c>
      <c r="Q15" s="346" t="s">
        <v>2128</v>
      </c>
      <c r="R15" s="346"/>
      <c r="S15" s="346"/>
      <c r="T15" s="346"/>
      <c r="U15" s="346"/>
      <c r="V15" s="347" t="s">
        <v>420</v>
      </c>
      <c r="W15" s="1337" t="s">
        <v>1044</v>
      </c>
      <c r="X15" s="156"/>
    </row>
    <row r="16" ht="25.5" customHeight="1">
      <c r="J16" s="537"/>
      <c r="K16" s="537"/>
      <c r="L16" s="347"/>
      <c r="M16" s="347"/>
      <c r="N16" s="347"/>
      <c r="O16" s="347"/>
      <c r="P16" s="346"/>
      <c r="Q16" s="346" t="s">
        <v>2149</v>
      </c>
      <c r="R16" s="346"/>
      <c r="S16" s="156" t="s">
        <v>439</v>
      </c>
      <c r="T16" s="156"/>
      <c r="U16" s="156"/>
      <c r="V16" s="347"/>
      <c r="W16" s="1337"/>
      <c r="X16" s="156"/>
    </row>
    <row r="17" ht="14.25" customHeight="1">
      <c r="J17" s="537"/>
      <c r="K17" s="537"/>
      <c r="L17" s="347"/>
      <c r="M17" s="347"/>
      <c r="N17" s="347"/>
      <c r="O17" s="347"/>
      <c r="P17" s="346"/>
      <c r="Q17" s="347" t="s">
        <v>468</v>
      </c>
      <c r="R17" s="347" t="s">
        <v>469</v>
      </c>
      <c r="S17" s="247" t="s">
        <v>436</v>
      </c>
      <c r="T17" s="247" t="s">
        <v>437</v>
      </c>
      <c r="U17" s="247"/>
      <c r="V17" s="347"/>
      <c r="W17" s="1337"/>
      <c r="X17" s="156"/>
    </row>
    <row r="18" ht="14.25" customHeight="1">
      <c r="J18" s="537"/>
      <c r="K18" s="642">
        <v>1</v>
      </c>
      <c r="L18" s="424" t="s">
        <v>111</v>
      </c>
      <c r="M18" s="424" t="s">
        <v>99</v>
      </c>
      <c r="N18" s="248" t="s">
        <v>99</v>
      </c>
      <c r="O18" s="423">
        <f ca="1">OFFSET(O18,0,-1)+1</f>
        <v>3</v>
      </c>
      <c r="P18" s="423">
        <f ca="1">OFFSET(P18,0,-1)+1</f>
        <v>4</v>
      </c>
      <c r="Q18" s="423">
        <f ca="1">OFFSET(Q18,0,-1)+1</f>
        <v>5</v>
      </c>
      <c r="R18" s="423">
        <f ca="1">OFFSET(R18,0,-1)+1</f>
        <v>6</v>
      </c>
      <c r="S18" s="423">
        <f ca="1">OFFSET(S18,0,-1)+1</f>
        <v>7</v>
      </c>
      <c r="T18" s="423">
        <f ca="1">OFFSET(T18,0,-1)+1</f>
        <v>8</v>
      </c>
      <c r="U18" s="423"/>
      <c r="V18" s="423">
        <f ca="1">OFFSET(V18,0,-2)+1</f>
        <v>9</v>
      </c>
      <c r="X18" s="423">
        <f ca="1">OFFSET(X18,0,-2)+1</f>
        <v>10</v>
      </c>
    </row>
    <row r="19" ht="22.5" customHeight="1">
      <c r="A19" s="131">
        <v>1</v>
      </c>
      <c r="B19" s="57"/>
      <c r="C19" s="57"/>
      <c r="D19" s="57"/>
      <c r="E19" s="57"/>
      <c r="F19" s="57"/>
      <c r="G19" s="586"/>
      <c r="H19" s="586"/>
      <c r="I19" s="60"/>
      <c r="J19" s="537"/>
      <c r="K19" s="537"/>
      <c r="L19" s="483" t="e">
        <f>MERGEVALUE(A19)</f>
        <v>#NAME?</v>
      </c>
      <c r="M19" s="484" t="s">
        <v>125</v>
      </c>
      <c r="N19" s="484"/>
      <c r="O19" s="1008"/>
      <c r="P19" s="1008"/>
      <c r="Q19" s="1008"/>
      <c r="R19" s="1008"/>
      <c r="S19" s="1008"/>
      <c r="T19" s="1008"/>
      <c r="U19" s="1008"/>
      <c r="V19" s="1008"/>
      <c r="W19" s="1008"/>
      <c r="X19" s="484" t="s">
        <v>386</v>
      </c>
    </row>
    <row r="20" ht="22.5" customHeight="1">
      <c r="A20" s="131"/>
      <c r="B20" s="131">
        <v>1</v>
      </c>
      <c r="C20" s="57"/>
      <c r="D20" s="57"/>
      <c r="E20" s="57"/>
      <c r="F20" s="57"/>
      <c r="G20" s="1338"/>
      <c r="H20" s="131"/>
      <c r="I20" s="52"/>
      <c r="J20" s="375"/>
      <c r="K20" s="50"/>
      <c r="L20" s="483" t="e">
        <f>MERGEVALUE(A20)&amp;"."&amp;MERGEVALUE(B20)</f>
        <v>#NAME?</v>
      </c>
      <c r="M20" s="493" t="s">
        <v>387</v>
      </c>
      <c r="N20" s="484"/>
      <c r="O20" s="1008"/>
      <c r="P20" s="1008"/>
      <c r="Q20" s="1008"/>
      <c r="R20" s="1008"/>
      <c r="S20" s="1008"/>
      <c r="T20" s="1008"/>
      <c r="U20" s="1008"/>
      <c r="V20" s="1008"/>
      <c r="W20" s="1008"/>
      <c r="X20" s="484" t="s">
        <v>388</v>
      </c>
    </row>
    <row r="21" ht="22.5" customHeight="1">
      <c r="A21" s="131"/>
      <c r="B21" s="131"/>
      <c r="C21" s="131">
        <v>1</v>
      </c>
      <c r="D21" s="57"/>
      <c r="E21" s="57"/>
      <c r="F21" s="57"/>
      <c r="G21" s="1338"/>
      <c r="H21" s="131"/>
      <c r="I21" s="56"/>
      <c r="J21" s="375"/>
      <c r="K21" s="50"/>
      <c r="L21" s="483" t="e">
        <f>MERGEVALUE(A21)&amp;"."&amp;MERGEVALUE(B21)&amp;"."&amp;MERGEVALUE(C21)</f>
        <v>#NAME?</v>
      </c>
      <c r="M21" s="495" t="s">
        <v>389</v>
      </c>
      <c r="N21" s="484"/>
      <c r="O21" s="1008"/>
      <c r="P21" s="1008"/>
      <c r="Q21" s="1008"/>
      <c r="R21" s="1008"/>
      <c r="S21" s="1008"/>
      <c r="T21" s="1008"/>
      <c r="U21" s="1008"/>
      <c r="V21" s="1008"/>
      <c r="W21" s="1008"/>
      <c r="X21" s="484" t="s">
        <v>390</v>
      </c>
    </row>
    <row r="22" ht="14.25" customHeight="1">
      <c r="A22" s="131"/>
      <c r="B22" s="131"/>
      <c r="C22" s="131"/>
      <c r="D22" s="131">
        <v>1</v>
      </c>
      <c r="E22" s="57"/>
      <c r="F22" s="57"/>
      <c r="G22" s="1338"/>
      <c r="H22" s="131"/>
      <c r="I22" s="56"/>
      <c r="J22" s="1339"/>
      <c r="K22" s="50"/>
      <c r="L22" s="483" t="e">
        <f>MERGEVALUE(A22)&amp;"."&amp;MERGEVALUE(B22)&amp;"."&amp;MERGEVALUE(C22)&amp;"."&amp;MERGEVALUE(D22)</f>
        <v>#NAME?</v>
      </c>
      <c r="M22" s="496" t="s">
        <v>391</v>
      </c>
      <c r="N22" s="484"/>
      <c r="O22" s="1008"/>
      <c r="P22" s="1008"/>
      <c r="Q22" s="1008"/>
      <c r="R22" s="1008"/>
      <c r="S22" s="1008"/>
      <c r="T22" s="1008"/>
      <c r="U22" s="1008"/>
      <c r="V22" s="1008"/>
      <c r="W22" s="1008"/>
      <c r="X22" s="547" t="s">
        <v>2150</v>
      </c>
    </row>
    <row r="23" ht="22.5" customHeight="1">
      <c r="A23" s="131"/>
      <c r="B23" s="131"/>
      <c r="C23" s="131"/>
      <c r="D23" s="131"/>
      <c r="E23" s="57">
        <v>1</v>
      </c>
      <c r="F23" s="57"/>
      <c r="G23" s="1338"/>
      <c r="H23" s="131"/>
      <c r="I23" s="56"/>
      <c r="J23" s="1339"/>
      <c r="K23" s="127"/>
      <c r="L23" s="483" t="e">
        <f>MERGEVALUE(A23)&amp;"."&amp;MERGEVALUE(B23)&amp;"."&amp;MERGEVALUE(C23)&amp;"."&amp;MERGEVALUE(D23)&amp;"."&amp;MERGEVALUE(E23)</f>
        <v>#NAME?</v>
      </c>
      <c r="M23" s="1340"/>
      <c r="N23" s="219"/>
      <c r="O23" s="383"/>
      <c r="P23" s="432"/>
      <c r="Q23" s="1341"/>
      <c r="R23" s="1341"/>
      <c r="S23" s="508"/>
      <c r="T23" s="225" t="s">
        <v>54</v>
      </c>
      <c r="U23" s="344"/>
      <c r="V23" s="225" t="s">
        <v>54</v>
      </c>
      <c r="W23" s="1342"/>
      <c r="X23" s="284" t="s">
        <v>2151</v>
      </c>
      <c r="Y23" s="57" t="e">
        <f>STRCHECKDATETWO(N23:W23)</f>
        <v>#NAME?</v>
      </c>
    </row>
    <row r="24" ht="14.25" hidden="1" customHeight="1">
      <c r="A24" s="131"/>
      <c r="B24" s="131"/>
      <c r="C24" s="131"/>
      <c r="D24" s="131"/>
      <c r="E24" s="57"/>
      <c r="F24" s="57"/>
      <c r="G24" s="1338"/>
      <c r="H24" s="131"/>
      <c r="I24" s="56"/>
      <c r="J24" s="1339"/>
      <c r="K24" s="127"/>
      <c r="L24" s="312"/>
      <c r="M24" s="616"/>
      <c r="N24" s="485"/>
      <c r="O24" s="485"/>
      <c r="P24" s="485"/>
      <c r="Q24" s="485"/>
      <c r="R24" s="510" t="str">
        <f>S23&amp;"-"&amp;U23</f>
        <v>-</v>
      </c>
      <c r="S24" s="789"/>
      <c r="T24" s="606"/>
      <c r="U24" s="789"/>
      <c r="V24" s="485"/>
      <c r="W24" s="1343"/>
      <c r="X24" s="286"/>
    </row>
    <row r="25" ht="14.25" customHeight="1">
      <c r="A25" s="131"/>
      <c r="B25" s="131"/>
      <c r="C25" s="131"/>
      <c r="D25" s="131"/>
      <c r="E25" s="57"/>
      <c r="F25" s="57"/>
      <c r="G25" s="1338"/>
      <c r="H25" s="131"/>
      <c r="I25" s="56"/>
      <c r="J25" s="1339"/>
      <c r="K25" s="127"/>
      <c r="L25" s="1344"/>
      <c r="M25" s="521" t="s">
        <v>457</v>
      </c>
      <c r="N25" s="236"/>
      <c r="O25" s="1345"/>
      <c r="P25" s="1345"/>
      <c r="Q25" s="1345"/>
      <c r="R25" s="1345"/>
      <c r="S25" s="518"/>
      <c r="T25" s="215"/>
      <c r="U25" s="518"/>
      <c r="V25" s="236"/>
      <c r="W25" s="236"/>
      <c r="X25" s="288"/>
    </row>
    <row r="26" s="63" customFormat="1" ht="14.25" customHeight="1">
      <c r="A26" s="131"/>
      <c r="B26" s="131"/>
      <c r="C26" s="131"/>
      <c r="D26" s="166"/>
      <c r="E26" s="166"/>
      <c r="F26" s="166"/>
      <c r="G26" s="1338"/>
      <c r="H26" s="166"/>
      <c r="I26" s="56"/>
      <c r="J26" s="520"/>
      <c r="K26" s="142"/>
      <c r="L26" s="1344"/>
      <c r="M26" s="669" t="s">
        <v>568</v>
      </c>
      <c r="N26" s="236"/>
      <c r="O26" s="1345"/>
      <c r="P26" s="1345"/>
      <c r="Q26" s="1345"/>
      <c r="R26" s="1345"/>
      <c r="S26" s="518"/>
      <c r="T26" s="215"/>
      <c r="U26" s="518"/>
      <c r="V26" s="236"/>
      <c r="W26" s="215"/>
      <c r="X26" s="1346"/>
      <c r="Y26" s="166"/>
      <c r="Z26" s="166"/>
      <c r="AA26" s="166"/>
      <c r="AB26" s="166"/>
      <c r="AC26" s="166"/>
    </row>
    <row r="27" s="63" customFormat="1" ht="14.25" customHeight="1">
      <c r="A27" s="131"/>
      <c r="B27" s="131"/>
      <c r="C27" s="166"/>
      <c r="D27" s="166"/>
      <c r="E27" s="166"/>
      <c r="F27" s="166"/>
      <c r="G27" s="1338"/>
      <c r="H27" s="166"/>
      <c r="I27" s="142"/>
      <c r="J27" s="520"/>
      <c r="K27" s="142"/>
      <c r="L27" s="1344"/>
      <c r="M27" s="236" t="s">
        <v>2129</v>
      </c>
      <c r="N27" s="236"/>
      <c r="O27" s="1345"/>
      <c r="P27" s="1345"/>
      <c r="Q27" s="1345"/>
      <c r="R27" s="1345"/>
      <c r="S27" s="518"/>
      <c r="T27" s="215"/>
      <c r="U27" s="518"/>
      <c r="V27" s="236"/>
      <c r="W27" s="215"/>
      <c r="X27" s="515"/>
      <c r="Y27" s="166"/>
      <c r="Z27" s="166"/>
      <c r="AA27" s="166"/>
      <c r="AB27" s="166"/>
      <c r="AC27" s="166"/>
    </row>
    <row r="28" s="63" customFormat="1" ht="14.25" customHeight="1">
      <c r="A28" s="131"/>
      <c r="B28" s="166"/>
      <c r="C28" s="166"/>
      <c r="D28" s="166"/>
      <c r="E28" s="166"/>
      <c r="F28" s="166"/>
      <c r="G28" s="1338"/>
      <c r="H28" s="166"/>
      <c r="I28" s="142"/>
      <c r="J28" s="520"/>
      <c r="K28" s="142"/>
      <c r="L28" s="1344"/>
      <c r="M28" s="174" t="s">
        <v>106</v>
      </c>
      <c r="N28" s="236"/>
      <c r="O28" s="1345"/>
      <c r="P28" s="1345"/>
      <c r="Q28" s="1345"/>
      <c r="R28" s="1345"/>
      <c r="S28" s="518"/>
      <c r="T28" s="215"/>
      <c r="U28" s="518"/>
      <c r="V28" s="236"/>
      <c r="W28" s="215"/>
      <c r="X28" s="515"/>
      <c r="Y28" s="166"/>
      <c r="Z28" s="166"/>
      <c r="AA28" s="166"/>
      <c r="AB28" s="166"/>
      <c r="AC28" s="166"/>
    </row>
    <row r="29" s="63" customFormat="1" ht="14.25" customHeight="1">
      <c r="G29" s="910"/>
      <c r="H29" s="142"/>
      <c r="I29" s="293"/>
      <c r="J29" s="520"/>
      <c r="L29" s="1344"/>
      <c r="M29" s="179" t="s">
        <v>438</v>
      </c>
      <c r="N29" s="236"/>
      <c r="O29" s="1345"/>
      <c r="P29" s="1345"/>
      <c r="Q29" s="1345"/>
      <c r="R29" s="1345"/>
      <c r="S29" s="518"/>
      <c r="T29" s="215"/>
      <c r="U29" s="518"/>
      <c r="V29" s="236"/>
      <c r="W29" s="215"/>
      <c r="X29" s="515"/>
      <c r="Y29" s="166"/>
      <c r="Z29" s="166"/>
      <c r="AA29" s="166"/>
      <c r="AB29" s="166"/>
      <c r="AC29" s="166"/>
    </row>
    <row r="31" ht="14.25" customHeight="1">
      <c r="L31" s="394">
        <v>1</v>
      </c>
      <c r="M31" s="572" t="s">
        <v>2152</v>
      </c>
      <c r="N31" s="572"/>
      <c r="O31" s="572"/>
      <c r="P31" s="572"/>
      <c r="Q31" s="572"/>
      <c r="R31" s="572"/>
      <c r="S31" s="572"/>
      <c r="T31" s="572"/>
      <c r="U31" s="572"/>
      <c r="V31" s="572"/>
      <c r="W31" s="572"/>
      <c r="X31" s="572"/>
      <c r="Y31" s="1347"/>
      <c r="Z31" s="394"/>
      <c r="AA31" s="394"/>
      <c r="AB31" s="394"/>
      <c r="AC31" s="394"/>
    </row>
    <row r="32" ht="14.25" customHeight="1">
      <c r="M32" s="1192"/>
      <c r="N32" s="1192"/>
      <c r="O32" s="1192"/>
      <c r="P32" s="1192"/>
      <c r="Q32" s="1192"/>
      <c r="R32" s="1192"/>
      <c r="S32" s="1192"/>
      <c r="T32" s="1192"/>
      <c r="U32" s="1192"/>
      <c r="V32" s="1192"/>
      <c r="W32" s="1192"/>
      <c r="X32" s="1192"/>
      <c r="Y32" s="586"/>
      <c r="Z32" s="586"/>
      <c r="AA32" s="586"/>
      <c r="AB32" s="586"/>
      <c r="AC32" s="586"/>
    </row>
  </sheetData>
  <sheetProtection autoFilter="0" deleteColumns="0" deleteRows="0" formatCells="1" formatColumns="0" formatRows="0" insertColumns="1" insertHyperlinks="1" insertRows="0" pivotTables="1" selectLockedCells="0" selectUnlockedCells="0" sheet="0" sort="0"/>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4" disablePrompts="0">
    <dataValidation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type="none" allowBlank="1" errorStyle="stop" imeMode="noControl" operator="between" prompt="Для выбора выполните двойной щелчок левой клавиши мыши по соответствующей ячейке." showDropDown="0" showErrorMessage="0" showInputMessage="0"/>
    <dataValidation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4A00E4-00E9-43C1-A024-005300F200C5}" type="textLength" allowBlank="1" error="Допускается ввод не более 900 символов!" errorStyle="stop" errorTitle="Ошибка" imeMode="noControl" operator="lessThanOrEqual" prompt="Укажите заявителя" showDropDown="0" showErrorMessage="1" showInputMessage="1">
          <x14:formula1>
            <xm:f>900</xm:f>
          </x14:formula1>
          <xm: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xm:sqref>
        </x14:dataValidation>
        <x14:dataValidation xr:uid="{00CB004B-00FA-419C-A8D7-006000550001}"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xm:sqref>
        </x14:dataValidation>
        <x14:dataValidation xr:uid="{00A2009B-00F4-4150-A11A-002E00EF00E7}"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xm:sqref>
        </x14:dataValidation>
        <x14:dataValidation xr:uid="{00EF004A-0030-44EB-AA65-006B0005008A}" type="textLength" allowBlank="1" error="Допускается ввод не более 900 символов!" errorStyle="stop" errorTitle="Ошибка" imeMode="noControl" operator="lessThanOrEqual" showDropDown="0" showErrorMessage="1" showInputMessage="1">
          <x14:formula1>
            <xm:f>900</xm:f>
          </x14:formula1>
          <xm: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 zoomScale="100" workbookViewId="0">
      <selection activeCell="A1" activeCellId="0" sqref="A1"/>
    </sheetView>
  </sheetViews>
  <sheetFormatPr defaultRowHeight="11.25" customHeight="1"/>
  <cols>
    <col customWidth="1" min="1" max="1" width="10.57421875"/>
    <col customWidth="1" min="2" max="2" width="8.7109375"/>
    <col customWidth="1" min="3" max="3" width="18.140625"/>
    <col customWidth="1" min="4" max="4" width="12.57421875"/>
  </cols>
  <sheetData>
    <row r="1" ht="11.25" customHeight="1">
      <c r="A1" s="275" t="s">
        <v>2153</v>
      </c>
      <c r="B1" s="1222" t="s">
        <v>2154</v>
      </c>
      <c r="C1" s="1348" t="s">
        <v>2155</v>
      </c>
      <c r="D1" s="1349"/>
      <c r="E1" s="275" t="s">
        <v>2156</v>
      </c>
    </row>
    <row r="2" ht="11.25" customHeight="1">
      <c r="A2" s="1350"/>
      <c r="B2" s="1349" t="s">
        <v>23</v>
      </c>
      <c r="C2" s="275"/>
      <c r="D2" s="1222"/>
      <c r="E2" s="275"/>
    </row>
    <row r="3" ht="11.25" customHeight="1">
      <c r="A3" s="1351"/>
      <c r="B3" s="1352" t="s">
        <v>29</v>
      </c>
      <c r="C3" s="275"/>
      <c r="D3" s="1222"/>
      <c r="E3" s="275"/>
    </row>
    <row r="4" ht="11.25" customHeight="1">
      <c r="A4" s="1353"/>
      <c r="B4" s="1352" t="s">
        <v>1649</v>
      </c>
      <c r="C4" s="275"/>
      <c r="D4" s="1222"/>
      <c r="E4" s="275"/>
    </row>
    <row r="5" ht="11.25" customHeight="1">
      <c r="A5" s="1354"/>
      <c r="B5" s="1352" t="s">
        <v>1643</v>
      </c>
      <c r="C5" s="1355" t="s">
        <v>1893</v>
      </c>
      <c r="D5" s="1356" t="s">
        <v>2157</v>
      </c>
      <c r="E5" s="275"/>
    </row>
    <row r="6" s="63" customFormat="1" ht="11.25" customHeight="1">
      <c r="A6" s="1357"/>
      <c r="B6" s="1352" t="s">
        <v>1653</v>
      </c>
      <c r="C6" s="275"/>
      <c r="D6" s="1222"/>
      <c r="E6" s="275"/>
    </row>
    <row r="7" ht="11.25" customHeight="1">
      <c r="A7" s="1358"/>
      <c r="B7" s="1352" t="s">
        <v>1661</v>
      </c>
      <c r="C7" s="275"/>
      <c r="D7" s="1222"/>
      <c r="E7" s="275"/>
    </row>
    <row r="8" ht="11.25" customHeight="1">
      <c r="A8" s="1355"/>
      <c r="B8" s="1352" t="s">
        <v>1656</v>
      </c>
      <c r="C8" s="275"/>
      <c r="D8" s="1222"/>
      <c r="E8" s="275"/>
    </row>
  </sheetData>
  <sheetProtection autoFilter="0" deleteColumns="0" deleteRows="0" formatCells="1" formatColumns="0" formatRows="0" insertColumns="1" insertHyperlinks="1" insertRows="0" pivotTables="1" selectLockedCells="0" selectUnlockedCells="0" sheet="0" sort="0"/>
  <mergeCells count="1">
    <mergeCell ref="C1:D1"/>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63" width="9.140625"/>
    <col customWidth="1" min="3" max="3" style="63" width="20.7109375"/>
    <col customWidth="1" min="4" max="4" style="63" width="25.140625"/>
    <col min="5" max="9" style="63" width="9.140625"/>
  </cols>
  <sheetData>
    <row r="1" ht="11.25" customHeight="1">
      <c r="A1" t="s">
        <v>2158</v>
      </c>
      <c r="B1" t="s">
        <v>2159</v>
      </c>
      <c r="C1" t="s">
        <v>2160</v>
      </c>
      <c r="D1" t="s">
        <v>2161</v>
      </c>
      <c r="E1" t="s">
        <v>2162</v>
      </c>
      <c r="F1" t="s">
        <v>2163</v>
      </c>
      <c r="G1" t="s">
        <v>2164</v>
      </c>
      <c r="H1" t="s">
        <v>2165</v>
      </c>
      <c r="I1" t="s">
        <v>2166</v>
      </c>
    </row>
    <row r="2" ht="11.25" customHeight="1">
      <c r="A2" s="63" t="s">
        <v>2167</v>
      </c>
      <c r="B2" s="63" t="s">
        <v>14</v>
      </c>
      <c r="C2" s="63" t="s">
        <v>2168</v>
      </c>
      <c r="D2" s="63" t="s">
        <v>2169</v>
      </c>
      <c r="E2" s="63" t="s">
        <v>2170</v>
      </c>
      <c r="F2" s="63" t="s">
        <v>2171</v>
      </c>
      <c r="G2" s="63" t="s">
        <v>2172</v>
      </c>
      <c r="H2" s="63" t="s">
        <v>18</v>
      </c>
      <c r="I2" s="63" t="s">
        <v>704</v>
      </c>
    </row>
    <row r="3" ht="11.25" customHeight="1">
      <c r="A3" s="63" t="s">
        <v>2167</v>
      </c>
      <c r="B3" s="63" t="s">
        <v>14</v>
      </c>
      <c r="C3" s="63" t="s">
        <v>2173</v>
      </c>
      <c r="D3" s="63" t="s">
        <v>2174</v>
      </c>
      <c r="E3" s="63" t="s">
        <v>2175</v>
      </c>
      <c r="F3" s="63" t="s">
        <v>2176</v>
      </c>
      <c r="G3" s="63" t="s">
        <v>18</v>
      </c>
      <c r="H3" s="63" t="s">
        <v>18</v>
      </c>
      <c r="I3" s="63" t="s">
        <v>704</v>
      </c>
    </row>
    <row r="4" ht="11.25" customHeight="1">
      <c r="A4" s="63" t="s">
        <v>2167</v>
      </c>
      <c r="B4" s="63" t="s">
        <v>14</v>
      </c>
      <c r="C4" s="63" t="s">
        <v>2177</v>
      </c>
      <c r="D4" s="63" t="s">
        <v>2178</v>
      </c>
      <c r="E4" s="63" t="s">
        <v>2179</v>
      </c>
      <c r="F4" s="63" t="s">
        <v>2180</v>
      </c>
      <c r="G4" s="63" t="s">
        <v>2181</v>
      </c>
      <c r="H4" s="63" t="s">
        <v>18</v>
      </c>
      <c r="I4" s="63" t="s">
        <v>704</v>
      </c>
    </row>
    <row r="5" ht="11.25" customHeight="1">
      <c r="A5" s="63" t="s">
        <v>2167</v>
      </c>
      <c r="B5" s="63" t="s">
        <v>14</v>
      </c>
      <c r="C5" s="63" t="s">
        <v>2182</v>
      </c>
      <c r="D5" s="63" t="s">
        <v>2183</v>
      </c>
      <c r="E5" s="63" t="s">
        <v>2184</v>
      </c>
      <c r="F5" s="63" t="s">
        <v>2185</v>
      </c>
      <c r="G5" s="63" t="s">
        <v>2186</v>
      </c>
      <c r="H5" s="63" t="s">
        <v>18</v>
      </c>
      <c r="I5" s="63" t="s">
        <v>704</v>
      </c>
    </row>
    <row r="6" ht="11.25" customHeight="1">
      <c r="A6" s="63" t="s">
        <v>2167</v>
      </c>
      <c r="B6" s="63" t="s">
        <v>14</v>
      </c>
      <c r="C6" s="63" t="s">
        <v>2187</v>
      </c>
      <c r="D6" s="63" t="s">
        <v>2188</v>
      </c>
      <c r="E6" s="63" t="s">
        <v>2189</v>
      </c>
      <c r="F6" s="63" t="s">
        <v>2190</v>
      </c>
      <c r="G6" s="63" t="s">
        <v>2191</v>
      </c>
      <c r="H6" s="63" t="s">
        <v>18</v>
      </c>
      <c r="I6" s="63" t="s">
        <v>704</v>
      </c>
    </row>
    <row r="7" ht="11.25" customHeight="1">
      <c r="A7" s="63" t="s">
        <v>2167</v>
      </c>
      <c r="B7" s="63" t="s">
        <v>14</v>
      </c>
      <c r="C7" s="63" t="s">
        <v>2192</v>
      </c>
      <c r="D7" s="63" t="s">
        <v>2193</v>
      </c>
      <c r="E7" s="63" t="s">
        <v>2194</v>
      </c>
      <c r="F7" s="63" t="s">
        <v>2195</v>
      </c>
      <c r="G7" s="63" t="s">
        <v>18</v>
      </c>
      <c r="H7" s="63" t="s">
        <v>18</v>
      </c>
      <c r="I7" s="63" t="s">
        <v>704</v>
      </c>
    </row>
    <row r="8" ht="11.25" customHeight="1">
      <c r="A8" s="63" t="s">
        <v>2167</v>
      </c>
      <c r="B8" s="63" t="s">
        <v>14</v>
      </c>
      <c r="C8" s="63" t="s">
        <v>2196</v>
      </c>
      <c r="D8" s="63" t="s">
        <v>2197</v>
      </c>
      <c r="E8" s="63" t="s">
        <v>2198</v>
      </c>
      <c r="F8" s="63" t="s">
        <v>2199</v>
      </c>
      <c r="G8" s="63" t="s">
        <v>18</v>
      </c>
      <c r="H8" s="63" t="s">
        <v>18</v>
      </c>
      <c r="I8" s="63" t="s">
        <v>704</v>
      </c>
    </row>
    <row r="9" ht="11.25" customHeight="1">
      <c r="A9" s="63" t="s">
        <v>2167</v>
      </c>
      <c r="B9" s="63" t="s">
        <v>14</v>
      </c>
      <c r="C9" s="63" t="s">
        <v>2200</v>
      </c>
      <c r="D9" s="63" t="s">
        <v>2201</v>
      </c>
      <c r="E9" s="63" t="s">
        <v>2202</v>
      </c>
      <c r="F9" s="63" t="s">
        <v>2203</v>
      </c>
      <c r="G9" s="63" t="s">
        <v>18</v>
      </c>
      <c r="H9" s="63" t="s">
        <v>18</v>
      </c>
      <c r="I9" s="63" t="s">
        <v>704</v>
      </c>
    </row>
    <row r="10" ht="11.25" customHeight="1">
      <c r="A10" s="63" t="s">
        <v>2167</v>
      </c>
      <c r="B10" s="63" t="s">
        <v>14</v>
      </c>
      <c r="C10" s="63" t="s">
        <v>2204</v>
      </c>
      <c r="D10" s="63" t="s">
        <v>2205</v>
      </c>
      <c r="E10" s="63" t="s">
        <v>2206</v>
      </c>
      <c r="F10" s="63" t="s">
        <v>2199</v>
      </c>
      <c r="G10" s="63" t="s">
        <v>18</v>
      </c>
      <c r="H10" s="63" t="s">
        <v>18</v>
      </c>
      <c r="I10" s="63" t="s">
        <v>704</v>
      </c>
    </row>
    <row r="11" ht="11.25" customHeight="1">
      <c r="A11" s="63" t="s">
        <v>2167</v>
      </c>
      <c r="B11" s="63" t="s">
        <v>14</v>
      </c>
      <c r="C11" s="63" t="s">
        <v>2207</v>
      </c>
      <c r="D11" s="63" t="s">
        <v>2208</v>
      </c>
      <c r="E11" s="63" t="s">
        <v>2209</v>
      </c>
      <c r="F11" s="63" t="s">
        <v>2210</v>
      </c>
      <c r="G11" s="63" t="s">
        <v>18</v>
      </c>
      <c r="H11" s="63" t="s">
        <v>18</v>
      </c>
      <c r="I11" s="63" t="s">
        <v>704</v>
      </c>
    </row>
    <row r="12" ht="11.25" customHeight="1">
      <c r="A12" s="63" t="s">
        <v>2167</v>
      </c>
      <c r="B12" s="63" t="s">
        <v>14</v>
      </c>
      <c r="C12" s="63" t="s">
        <v>2211</v>
      </c>
      <c r="D12" s="63" t="s">
        <v>2212</v>
      </c>
      <c r="E12" s="63" t="s">
        <v>2213</v>
      </c>
      <c r="F12" s="63" t="s">
        <v>2214</v>
      </c>
      <c r="G12" s="63" t="s">
        <v>18</v>
      </c>
      <c r="H12" s="63" t="s">
        <v>18</v>
      </c>
      <c r="I12" s="63" t="s">
        <v>704</v>
      </c>
    </row>
    <row r="13" ht="11.25" customHeight="1">
      <c r="A13" s="63" t="s">
        <v>2167</v>
      </c>
      <c r="B13" s="63" t="s">
        <v>14</v>
      </c>
      <c r="C13" s="63" t="s">
        <v>2215</v>
      </c>
      <c r="D13" s="63" t="s">
        <v>2216</v>
      </c>
      <c r="E13" s="63" t="s">
        <v>2217</v>
      </c>
      <c r="F13" s="63" t="s">
        <v>2218</v>
      </c>
      <c r="G13" s="63" t="s">
        <v>18</v>
      </c>
      <c r="H13" s="63" t="s">
        <v>18</v>
      </c>
      <c r="I13" s="63" t="s">
        <v>704</v>
      </c>
    </row>
    <row r="14" ht="11.25" customHeight="1">
      <c r="A14" s="63" t="s">
        <v>2167</v>
      </c>
      <c r="B14" s="63" t="s">
        <v>14</v>
      </c>
      <c r="C14" s="63" t="s">
        <v>2219</v>
      </c>
      <c r="D14" s="63" t="s">
        <v>2220</v>
      </c>
      <c r="E14" s="63" t="s">
        <v>2221</v>
      </c>
      <c r="F14" s="63" t="s">
        <v>2222</v>
      </c>
      <c r="G14" s="63" t="s">
        <v>18</v>
      </c>
      <c r="H14" s="63" t="s">
        <v>18</v>
      </c>
      <c r="I14" s="63" t="s">
        <v>704</v>
      </c>
    </row>
    <row r="15" ht="11.25" customHeight="1">
      <c r="A15" s="63" t="s">
        <v>2167</v>
      </c>
      <c r="B15" s="63" t="s">
        <v>14</v>
      </c>
      <c r="C15" s="63" t="s">
        <v>2223</v>
      </c>
      <c r="D15" s="63" t="s">
        <v>2224</v>
      </c>
      <c r="E15" s="63" t="s">
        <v>2225</v>
      </c>
      <c r="F15" s="63" t="s">
        <v>2210</v>
      </c>
      <c r="G15" s="63" t="s">
        <v>18</v>
      </c>
      <c r="H15" s="63" t="s">
        <v>18</v>
      </c>
      <c r="I15" s="63" t="s">
        <v>704</v>
      </c>
    </row>
    <row r="16" ht="11.25" customHeight="1">
      <c r="A16" s="63" t="s">
        <v>2167</v>
      </c>
      <c r="B16" s="63" t="s">
        <v>14</v>
      </c>
      <c r="C16" s="63" t="s">
        <v>2226</v>
      </c>
      <c r="D16" s="63" t="s">
        <v>2227</v>
      </c>
      <c r="E16" s="63" t="s">
        <v>2228</v>
      </c>
      <c r="F16" s="63" t="s">
        <v>2171</v>
      </c>
      <c r="G16" s="63" t="s">
        <v>2229</v>
      </c>
      <c r="H16" s="63" t="s">
        <v>18</v>
      </c>
      <c r="I16" s="63" t="s">
        <v>704</v>
      </c>
    </row>
    <row r="17" ht="11.25" customHeight="1">
      <c r="A17" s="63" t="s">
        <v>2167</v>
      </c>
      <c r="B17" s="63" t="s">
        <v>14</v>
      </c>
      <c r="C17" s="63" t="s">
        <v>2230</v>
      </c>
      <c r="D17" s="63" t="s">
        <v>2231</v>
      </c>
      <c r="E17" s="63" t="s">
        <v>2232</v>
      </c>
      <c r="F17" s="63" t="s">
        <v>2190</v>
      </c>
      <c r="G17" s="63" t="s">
        <v>18</v>
      </c>
      <c r="H17" s="63" t="s">
        <v>18</v>
      </c>
      <c r="I17" s="63" t="s">
        <v>704</v>
      </c>
    </row>
    <row r="18" ht="11.25" customHeight="1">
      <c r="A18" s="63" t="s">
        <v>2167</v>
      </c>
      <c r="B18" s="63" t="s">
        <v>14</v>
      </c>
      <c r="C18" s="63" t="s">
        <v>2233</v>
      </c>
      <c r="D18" s="63" t="s">
        <v>2234</v>
      </c>
      <c r="E18" s="63" t="s">
        <v>2235</v>
      </c>
      <c r="F18" s="63" t="s">
        <v>2236</v>
      </c>
      <c r="G18" s="63" t="s">
        <v>18</v>
      </c>
      <c r="H18" s="63" t="s">
        <v>18</v>
      </c>
      <c r="I18" s="63" t="s">
        <v>704</v>
      </c>
    </row>
    <row r="19" ht="11.25" customHeight="1">
      <c r="A19" s="63" t="s">
        <v>2167</v>
      </c>
      <c r="B19" s="63" t="s">
        <v>14</v>
      </c>
      <c r="C19" s="63" t="s">
        <v>2237</v>
      </c>
      <c r="D19" s="63" t="s">
        <v>2238</v>
      </c>
      <c r="E19" s="63" t="s">
        <v>2239</v>
      </c>
      <c r="F19" s="63" t="s">
        <v>2240</v>
      </c>
      <c r="G19" s="63" t="s">
        <v>2241</v>
      </c>
      <c r="H19" s="63" t="s">
        <v>18</v>
      </c>
      <c r="I19" s="63" t="s">
        <v>704</v>
      </c>
    </row>
    <row r="20" ht="11.25" customHeight="1">
      <c r="A20" s="63" t="s">
        <v>2167</v>
      </c>
      <c r="B20" s="63" t="s">
        <v>14</v>
      </c>
      <c r="C20" s="63" t="s">
        <v>2242</v>
      </c>
      <c r="D20" s="63" t="s">
        <v>2243</v>
      </c>
      <c r="E20" s="63" t="s">
        <v>2244</v>
      </c>
      <c r="F20" s="63" t="s">
        <v>2245</v>
      </c>
      <c r="G20" s="63" t="s">
        <v>18</v>
      </c>
      <c r="H20" s="63" t="s">
        <v>18</v>
      </c>
      <c r="I20" s="63" t="s">
        <v>704</v>
      </c>
    </row>
    <row r="21" ht="11.25" customHeight="1">
      <c r="A21" s="63" t="s">
        <v>2167</v>
      </c>
      <c r="B21" s="63" t="s">
        <v>14</v>
      </c>
      <c r="C21" s="63" t="s">
        <v>2246</v>
      </c>
      <c r="D21" s="63" t="s">
        <v>2247</v>
      </c>
      <c r="E21" s="63" t="s">
        <v>2248</v>
      </c>
      <c r="F21" s="63" t="s">
        <v>2249</v>
      </c>
      <c r="G21" s="63" t="s">
        <v>18</v>
      </c>
      <c r="H21" s="63" t="s">
        <v>18</v>
      </c>
      <c r="I21" s="63" t="s">
        <v>704</v>
      </c>
    </row>
    <row r="22" ht="11.25" customHeight="1">
      <c r="A22" s="63" t="s">
        <v>2167</v>
      </c>
      <c r="B22" s="63" t="s">
        <v>14</v>
      </c>
      <c r="C22" s="63" t="s">
        <v>2250</v>
      </c>
      <c r="D22" s="63" t="s">
        <v>2251</v>
      </c>
      <c r="E22" s="63" t="s">
        <v>2252</v>
      </c>
      <c r="F22" s="63" t="s">
        <v>2249</v>
      </c>
      <c r="G22" s="63" t="s">
        <v>18</v>
      </c>
      <c r="H22" s="63" t="s">
        <v>18</v>
      </c>
      <c r="I22" s="63" t="s">
        <v>704</v>
      </c>
    </row>
    <row r="23" ht="11.25" customHeight="1">
      <c r="A23" s="63" t="s">
        <v>2167</v>
      </c>
      <c r="B23" s="63" t="s">
        <v>14</v>
      </c>
      <c r="C23" s="63" t="s">
        <v>2253</v>
      </c>
      <c r="D23" s="63" t="s">
        <v>2254</v>
      </c>
      <c r="E23" s="63" t="s">
        <v>2255</v>
      </c>
      <c r="F23" s="63" t="s">
        <v>2256</v>
      </c>
      <c r="G23" s="63" t="s">
        <v>18</v>
      </c>
      <c r="H23" s="63" t="s">
        <v>18</v>
      </c>
      <c r="I23" s="63" t="s">
        <v>704</v>
      </c>
    </row>
    <row r="24" ht="11.25" customHeight="1">
      <c r="A24" s="63" t="s">
        <v>2167</v>
      </c>
      <c r="B24" s="63" t="s">
        <v>14</v>
      </c>
      <c r="C24" s="63" t="s">
        <v>2257</v>
      </c>
      <c r="D24" s="63" t="s">
        <v>2258</v>
      </c>
      <c r="E24" s="63" t="s">
        <v>2259</v>
      </c>
      <c r="F24" s="63" t="s">
        <v>2260</v>
      </c>
      <c r="G24" s="63" t="s">
        <v>2261</v>
      </c>
      <c r="H24" s="63" t="s">
        <v>18</v>
      </c>
      <c r="I24" s="63" t="s">
        <v>704</v>
      </c>
    </row>
    <row r="25" ht="11.25" customHeight="1">
      <c r="A25" s="63" t="s">
        <v>2167</v>
      </c>
      <c r="B25" s="63" t="s">
        <v>14</v>
      </c>
      <c r="C25" s="63" t="s">
        <v>2262</v>
      </c>
      <c r="D25" s="63" t="s">
        <v>2263</v>
      </c>
      <c r="E25" s="63" t="s">
        <v>2264</v>
      </c>
      <c r="F25" s="63" t="s">
        <v>2203</v>
      </c>
      <c r="G25" s="63" t="s">
        <v>2265</v>
      </c>
      <c r="H25" s="63" t="s">
        <v>18</v>
      </c>
      <c r="I25" s="63" t="s">
        <v>704</v>
      </c>
    </row>
    <row r="26" ht="11.25" customHeight="1">
      <c r="A26" s="63" t="s">
        <v>2167</v>
      </c>
      <c r="B26" s="63" t="s">
        <v>14</v>
      </c>
      <c r="C26" s="63" t="s">
        <v>2266</v>
      </c>
      <c r="D26" s="63" t="s">
        <v>2267</v>
      </c>
      <c r="E26" s="63" t="s">
        <v>2268</v>
      </c>
      <c r="F26" s="63" t="s">
        <v>2269</v>
      </c>
      <c r="G26" s="63" t="s">
        <v>18</v>
      </c>
      <c r="H26" s="63" t="s">
        <v>18</v>
      </c>
      <c r="I26" s="63" t="s">
        <v>704</v>
      </c>
    </row>
    <row r="27" ht="11.25" customHeight="1">
      <c r="A27" s="63" t="s">
        <v>2167</v>
      </c>
      <c r="B27" s="63" t="s">
        <v>14</v>
      </c>
      <c r="C27" s="63" t="s">
        <v>2270</v>
      </c>
      <c r="D27" s="63" t="s">
        <v>2271</v>
      </c>
      <c r="E27" s="63" t="s">
        <v>2272</v>
      </c>
      <c r="F27" s="63" t="s">
        <v>2249</v>
      </c>
      <c r="G27" s="63" t="s">
        <v>18</v>
      </c>
      <c r="H27" s="63" t="s">
        <v>18</v>
      </c>
      <c r="I27" s="63" t="s">
        <v>704</v>
      </c>
    </row>
    <row r="28" ht="11.25" customHeight="1">
      <c r="A28" s="63" t="s">
        <v>2167</v>
      </c>
      <c r="B28" s="63" t="s">
        <v>14</v>
      </c>
      <c r="C28" s="63" t="s">
        <v>2273</v>
      </c>
      <c r="D28" s="63" t="s">
        <v>2274</v>
      </c>
      <c r="E28" s="63" t="s">
        <v>2275</v>
      </c>
      <c r="F28" s="63" t="s">
        <v>2276</v>
      </c>
      <c r="G28" s="63" t="s">
        <v>18</v>
      </c>
      <c r="H28" s="63" t="s">
        <v>18</v>
      </c>
      <c r="I28" s="63" t="s">
        <v>704</v>
      </c>
    </row>
    <row r="29" ht="11.25" customHeight="1">
      <c r="A29" s="63" t="s">
        <v>2167</v>
      </c>
      <c r="B29" s="63" t="s">
        <v>14</v>
      </c>
      <c r="C29" s="63" t="s">
        <v>2277</v>
      </c>
      <c r="D29" s="63" t="s">
        <v>2278</v>
      </c>
      <c r="E29" s="63" t="s">
        <v>2279</v>
      </c>
      <c r="F29" s="63" t="s">
        <v>2210</v>
      </c>
      <c r="G29" s="63" t="s">
        <v>18</v>
      </c>
      <c r="H29" s="63" t="s">
        <v>18</v>
      </c>
      <c r="I29" s="63" t="s">
        <v>704</v>
      </c>
    </row>
    <row r="30" ht="11.25" customHeight="1">
      <c r="A30" s="63" t="s">
        <v>2167</v>
      </c>
      <c r="B30" s="63" t="s">
        <v>14</v>
      </c>
      <c r="C30" s="63" t="s">
        <v>2280</v>
      </c>
      <c r="D30" s="63" t="s">
        <v>2281</v>
      </c>
      <c r="E30" s="63" t="s">
        <v>2282</v>
      </c>
      <c r="F30" s="63" t="s">
        <v>2283</v>
      </c>
      <c r="G30" s="63" t="s">
        <v>2284</v>
      </c>
      <c r="H30" s="63" t="s">
        <v>18</v>
      </c>
      <c r="I30" s="63" t="s">
        <v>704</v>
      </c>
    </row>
    <row r="31" ht="11.25" customHeight="1">
      <c r="A31" s="63" t="s">
        <v>2167</v>
      </c>
      <c r="B31" s="63" t="s">
        <v>14</v>
      </c>
      <c r="C31" s="63" t="s">
        <v>2285</v>
      </c>
      <c r="D31" s="63" t="s">
        <v>2286</v>
      </c>
      <c r="E31" s="63" t="s">
        <v>2287</v>
      </c>
      <c r="F31" s="63" t="s">
        <v>2269</v>
      </c>
      <c r="G31" s="63" t="s">
        <v>18</v>
      </c>
      <c r="H31" s="63" t="s">
        <v>18</v>
      </c>
      <c r="I31" s="63" t="s">
        <v>704</v>
      </c>
    </row>
    <row r="32" ht="11.25" customHeight="1">
      <c r="A32" s="63" t="s">
        <v>2167</v>
      </c>
      <c r="B32" s="63" t="s">
        <v>14</v>
      </c>
      <c r="C32" s="63" t="s">
        <v>2288</v>
      </c>
      <c r="D32" s="63" t="s">
        <v>2289</v>
      </c>
      <c r="E32" s="63" t="s">
        <v>2290</v>
      </c>
      <c r="F32" s="63" t="s">
        <v>2291</v>
      </c>
      <c r="G32" s="63" t="s">
        <v>18</v>
      </c>
      <c r="H32" s="63" t="s">
        <v>18</v>
      </c>
      <c r="I32" s="63" t="s">
        <v>704</v>
      </c>
    </row>
    <row r="33" ht="11.25" customHeight="1">
      <c r="A33" s="63" t="s">
        <v>2167</v>
      </c>
      <c r="B33" s="63" t="s">
        <v>14</v>
      </c>
      <c r="C33" s="63" t="s">
        <v>2292</v>
      </c>
      <c r="D33" s="63" t="s">
        <v>2293</v>
      </c>
      <c r="E33" s="63" t="s">
        <v>2294</v>
      </c>
      <c r="F33" s="63" t="s">
        <v>2295</v>
      </c>
      <c r="G33" s="63" t="s">
        <v>2296</v>
      </c>
      <c r="H33" s="63" t="s">
        <v>18</v>
      </c>
      <c r="I33" s="63" t="s">
        <v>704</v>
      </c>
    </row>
    <row r="34" ht="11.25" customHeight="1">
      <c r="A34" s="63" t="s">
        <v>2167</v>
      </c>
      <c r="B34" s="63" t="s">
        <v>14</v>
      </c>
      <c r="C34" s="63" t="s">
        <v>2297</v>
      </c>
      <c r="D34" s="63" t="s">
        <v>2298</v>
      </c>
      <c r="E34" s="63" t="s">
        <v>2299</v>
      </c>
      <c r="F34" s="63" t="s">
        <v>2210</v>
      </c>
      <c r="G34" s="63" t="s">
        <v>18</v>
      </c>
      <c r="H34" s="63" t="s">
        <v>18</v>
      </c>
      <c r="I34" s="63" t="s">
        <v>704</v>
      </c>
    </row>
    <row r="35" ht="11.25" customHeight="1">
      <c r="A35" s="63" t="s">
        <v>2167</v>
      </c>
      <c r="B35" s="63" t="s">
        <v>14</v>
      </c>
      <c r="C35" s="63" t="s">
        <v>2300</v>
      </c>
      <c r="D35" s="63" t="s">
        <v>2301</v>
      </c>
      <c r="E35" s="63" t="s">
        <v>2302</v>
      </c>
      <c r="F35" s="63" t="s">
        <v>2303</v>
      </c>
      <c r="G35" s="63" t="s">
        <v>18</v>
      </c>
      <c r="H35" s="63" t="s">
        <v>18</v>
      </c>
      <c r="I35" s="63" t="s">
        <v>704</v>
      </c>
    </row>
    <row r="36" ht="11.25" customHeight="1">
      <c r="A36" s="63" t="s">
        <v>2167</v>
      </c>
      <c r="B36" s="63" t="s">
        <v>14</v>
      </c>
      <c r="C36" s="63" t="s">
        <v>2304</v>
      </c>
      <c r="D36" s="63" t="s">
        <v>2305</v>
      </c>
      <c r="E36" s="63" t="s">
        <v>2306</v>
      </c>
      <c r="F36" s="63" t="s">
        <v>2307</v>
      </c>
      <c r="G36" s="63" t="s">
        <v>18</v>
      </c>
      <c r="H36" s="63" t="s">
        <v>18</v>
      </c>
      <c r="I36" s="63" t="s">
        <v>704</v>
      </c>
    </row>
    <row r="37" ht="11.25" customHeight="1">
      <c r="A37" s="63" t="s">
        <v>2167</v>
      </c>
      <c r="B37" s="63" t="s">
        <v>14</v>
      </c>
      <c r="C37" s="63" t="s">
        <v>2308</v>
      </c>
      <c r="D37" s="63" t="s">
        <v>2309</v>
      </c>
      <c r="E37" s="63" t="s">
        <v>2310</v>
      </c>
      <c r="F37" s="63" t="s">
        <v>2311</v>
      </c>
      <c r="G37" s="63" t="s">
        <v>18</v>
      </c>
      <c r="H37" s="63" t="s">
        <v>18</v>
      </c>
      <c r="I37" s="63" t="s">
        <v>704</v>
      </c>
    </row>
    <row r="38" ht="11.25" customHeight="1">
      <c r="A38" s="63" t="s">
        <v>2167</v>
      </c>
      <c r="B38" s="63" t="s">
        <v>14</v>
      </c>
      <c r="C38" s="63" t="s">
        <v>2312</v>
      </c>
      <c r="D38" s="63" t="s">
        <v>2313</v>
      </c>
      <c r="E38" s="63" t="s">
        <v>2314</v>
      </c>
      <c r="F38" s="63" t="s">
        <v>2195</v>
      </c>
      <c r="G38" s="63" t="s">
        <v>2315</v>
      </c>
      <c r="H38" s="63" t="s">
        <v>18</v>
      </c>
      <c r="I38" s="63" t="s">
        <v>704</v>
      </c>
    </row>
    <row r="39" ht="11.25" customHeight="1">
      <c r="A39" s="63" t="s">
        <v>2167</v>
      </c>
      <c r="B39" s="63" t="s">
        <v>14</v>
      </c>
      <c r="C39" s="63" t="s">
        <v>2316</v>
      </c>
      <c r="D39" s="63" t="s">
        <v>2317</v>
      </c>
      <c r="E39" s="63" t="s">
        <v>2318</v>
      </c>
      <c r="F39" s="63" t="s">
        <v>2319</v>
      </c>
      <c r="G39" s="63" t="s">
        <v>18</v>
      </c>
      <c r="H39" s="63" t="s">
        <v>18</v>
      </c>
      <c r="I39" s="63" t="s">
        <v>704</v>
      </c>
    </row>
    <row r="40" ht="11.25" customHeight="1">
      <c r="A40" s="63" t="s">
        <v>2167</v>
      </c>
      <c r="B40" s="63" t="s">
        <v>14</v>
      </c>
      <c r="C40" s="63" t="s">
        <v>2320</v>
      </c>
      <c r="D40" s="63" t="s">
        <v>2321</v>
      </c>
      <c r="E40" s="63" t="s">
        <v>2322</v>
      </c>
      <c r="F40" s="63" t="s">
        <v>2269</v>
      </c>
      <c r="G40" s="63" t="s">
        <v>18</v>
      </c>
      <c r="H40" s="63" t="s">
        <v>18</v>
      </c>
      <c r="I40" s="63" t="s">
        <v>704</v>
      </c>
    </row>
    <row r="41" ht="11.25" customHeight="1">
      <c r="A41" s="63" t="s">
        <v>2167</v>
      </c>
      <c r="B41" s="63" t="s">
        <v>14</v>
      </c>
      <c r="C41" s="63" t="s">
        <v>2323</v>
      </c>
      <c r="D41" s="63" t="s">
        <v>2324</v>
      </c>
      <c r="E41" s="63" t="s">
        <v>2325</v>
      </c>
      <c r="F41" s="63" t="s">
        <v>2214</v>
      </c>
      <c r="G41" s="63" t="s">
        <v>18</v>
      </c>
      <c r="H41" s="63" t="s">
        <v>18</v>
      </c>
      <c r="I41" s="63" t="s">
        <v>704</v>
      </c>
    </row>
    <row r="42" ht="11.25" customHeight="1">
      <c r="A42" s="63" t="s">
        <v>2167</v>
      </c>
      <c r="B42" s="63" t="s">
        <v>14</v>
      </c>
      <c r="C42" s="63" t="s">
        <v>2326</v>
      </c>
      <c r="D42" s="63" t="s">
        <v>2327</v>
      </c>
      <c r="E42" s="63" t="s">
        <v>2206</v>
      </c>
      <c r="F42" s="63" t="s">
        <v>2328</v>
      </c>
      <c r="G42" s="63" t="s">
        <v>18</v>
      </c>
      <c r="H42" s="63" t="s">
        <v>18</v>
      </c>
      <c r="I42" s="63" t="s">
        <v>704</v>
      </c>
    </row>
    <row r="43" ht="11.25" customHeight="1">
      <c r="A43" s="63" t="s">
        <v>2167</v>
      </c>
      <c r="B43" s="63" t="s">
        <v>14</v>
      </c>
      <c r="C43" s="63" t="s">
        <v>2329</v>
      </c>
      <c r="D43" s="63" t="s">
        <v>2330</v>
      </c>
      <c r="E43" s="63" t="s">
        <v>2331</v>
      </c>
      <c r="F43" s="63" t="s">
        <v>2203</v>
      </c>
      <c r="G43" s="63" t="s">
        <v>18</v>
      </c>
      <c r="H43" s="63" t="s">
        <v>18</v>
      </c>
      <c r="I43" s="63" t="s">
        <v>704</v>
      </c>
    </row>
    <row r="44" ht="11.25" customHeight="1">
      <c r="A44" s="63" t="s">
        <v>2167</v>
      </c>
      <c r="B44" s="63" t="s">
        <v>14</v>
      </c>
      <c r="C44" s="63" t="s">
        <v>2332</v>
      </c>
      <c r="D44" s="63" t="s">
        <v>2333</v>
      </c>
      <c r="E44" s="63" t="s">
        <v>2334</v>
      </c>
      <c r="F44" s="63" t="s">
        <v>2176</v>
      </c>
      <c r="G44" s="63" t="s">
        <v>2335</v>
      </c>
      <c r="H44" s="63" t="s">
        <v>18</v>
      </c>
      <c r="I44" s="63" t="s">
        <v>704</v>
      </c>
    </row>
    <row r="45" ht="11.25" customHeight="1">
      <c r="A45" s="63" t="s">
        <v>2167</v>
      </c>
      <c r="B45" s="63" t="s">
        <v>14</v>
      </c>
      <c r="C45" s="63" t="s">
        <v>2336</v>
      </c>
      <c r="D45" s="63" t="s">
        <v>2337</v>
      </c>
      <c r="E45" s="63" t="s">
        <v>2338</v>
      </c>
      <c r="F45" s="63" t="s">
        <v>2171</v>
      </c>
      <c r="G45" s="63" t="s">
        <v>18</v>
      </c>
      <c r="H45" s="63" t="s">
        <v>18</v>
      </c>
      <c r="I45" s="63" t="s">
        <v>704</v>
      </c>
    </row>
    <row r="46" ht="11.25" customHeight="1">
      <c r="A46" s="63" t="s">
        <v>2167</v>
      </c>
      <c r="B46" s="63" t="s">
        <v>14</v>
      </c>
      <c r="C46" s="63" t="s">
        <v>2339</v>
      </c>
      <c r="D46" s="63" t="s">
        <v>2340</v>
      </c>
      <c r="E46" s="63" t="s">
        <v>2341</v>
      </c>
      <c r="F46" s="63" t="s">
        <v>2180</v>
      </c>
      <c r="G46" s="63" t="s">
        <v>2342</v>
      </c>
      <c r="H46" s="63" t="s">
        <v>18</v>
      </c>
      <c r="I46" s="63" t="s">
        <v>704</v>
      </c>
    </row>
    <row r="47" ht="11.25" customHeight="1">
      <c r="A47" s="63" t="s">
        <v>2167</v>
      </c>
      <c r="B47" s="63" t="s">
        <v>14</v>
      </c>
      <c r="C47" s="63" t="s">
        <v>2343</v>
      </c>
      <c r="D47" s="63" t="s">
        <v>2344</v>
      </c>
      <c r="E47" s="63" t="s">
        <v>2345</v>
      </c>
      <c r="F47" s="63" t="s">
        <v>2210</v>
      </c>
      <c r="G47" s="63" t="s">
        <v>2346</v>
      </c>
      <c r="H47" s="63" t="s">
        <v>18</v>
      </c>
      <c r="I47" s="63" t="s">
        <v>704</v>
      </c>
    </row>
    <row r="48" ht="11.25" customHeight="1">
      <c r="A48" s="63" t="s">
        <v>2167</v>
      </c>
      <c r="B48" s="63" t="s">
        <v>14</v>
      </c>
      <c r="C48" s="63" t="s">
        <v>2347</v>
      </c>
      <c r="D48" s="63" t="s">
        <v>2344</v>
      </c>
      <c r="E48" s="63" t="s">
        <v>2345</v>
      </c>
      <c r="F48" s="63" t="s">
        <v>2348</v>
      </c>
      <c r="G48" s="63" t="s">
        <v>2349</v>
      </c>
      <c r="H48" s="63" t="s">
        <v>18</v>
      </c>
      <c r="I48" s="63" t="s">
        <v>704</v>
      </c>
    </row>
    <row r="49" ht="11.25" customHeight="1">
      <c r="A49" s="63" t="s">
        <v>2167</v>
      </c>
      <c r="B49" s="63" t="s">
        <v>14</v>
      </c>
      <c r="C49" s="63" t="s">
        <v>2350</v>
      </c>
      <c r="D49" s="63" t="s">
        <v>2351</v>
      </c>
      <c r="E49" s="63" t="s">
        <v>2352</v>
      </c>
      <c r="F49" s="63" t="s">
        <v>2353</v>
      </c>
      <c r="G49" s="63" t="s">
        <v>2354</v>
      </c>
      <c r="H49" s="63" t="s">
        <v>18</v>
      </c>
      <c r="I49" s="63" t="s">
        <v>704</v>
      </c>
    </row>
    <row r="50" ht="11.25" customHeight="1">
      <c r="A50" s="63" t="s">
        <v>2167</v>
      </c>
      <c r="B50" s="63" t="s">
        <v>14</v>
      </c>
      <c r="C50" s="63" t="s">
        <v>2355</v>
      </c>
      <c r="D50" s="63" t="s">
        <v>2356</v>
      </c>
      <c r="E50" s="63" t="s">
        <v>2357</v>
      </c>
      <c r="F50" s="63" t="s">
        <v>2358</v>
      </c>
      <c r="G50" s="63" t="s">
        <v>2359</v>
      </c>
      <c r="H50" s="63" t="s">
        <v>18</v>
      </c>
      <c r="I50" s="63" t="s">
        <v>704</v>
      </c>
    </row>
    <row r="51" ht="11.25" customHeight="1">
      <c r="A51" s="63" t="s">
        <v>2167</v>
      </c>
      <c r="B51" s="63" t="s">
        <v>14</v>
      </c>
      <c r="C51" s="63" t="s">
        <v>2360</v>
      </c>
      <c r="D51" s="63" t="s">
        <v>2361</v>
      </c>
      <c r="E51" s="63" t="s">
        <v>2362</v>
      </c>
      <c r="F51" s="63" t="s">
        <v>2363</v>
      </c>
      <c r="G51" s="63" t="s">
        <v>18</v>
      </c>
      <c r="H51" s="63" t="s">
        <v>18</v>
      </c>
      <c r="I51" s="63" t="s">
        <v>704</v>
      </c>
    </row>
    <row r="52" ht="11.25" customHeight="1">
      <c r="A52" s="63" t="s">
        <v>2167</v>
      </c>
      <c r="B52" s="63" t="s">
        <v>14</v>
      </c>
      <c r="C52" s="63" t="s">
        <v>2364</v>
      </c>
      <c r="D52" s="63" t="s">
        <v>2365</v>
      </c>
      <c r="E52" s="63" t="s">
        <v>2362</v>
      </c>
      <c r="F52" s="63" t="s">
        <v>2366</v>
      </c>
      <c r="G52" s="63" t="s">
        <v>18</v>
      </c>
      <c r="H52" s="63" t="s">
        <v>18</v>
      </c>
      <c r="I52" s="63" t="s">
        <v>704</v>
      </c>
    </row>
    <row r="53" ht="11.25" customHeight="1">
      <c r="A53" s="63" t="s">
        <v>2167</v>
      </c>
      <c r="B53" s="63" t="s">
        <v>14</v>
      </c>
      <c r="C53" s="63" t="s">
        <v>2367</v>
      </c>
      <c r="D53" s="63" t="s">
        <v>2368</v>
      </c>
      <c r="E53" s="63" t="s">
        <v>2369</v>
      </c>
      <c r="F53" s="63" t="s">
        <v>2370</v>
      </c>
      <c r="G53" s="63" t="s">
        <v>2371</v>
      </c>
      <c r="H53" s="63" t="s">
        <v>18</v>
      </c>
      <c r="I53" s="63" t="s">
        <v>704</v>
      </c>
    </row>
    <row r="54" ht="11.25" customHeight="1">
      <c r="A54" s="63" t="s">
        <v>2167</v>
      </c>
      <c r="B54" s="63" t="s">
        <v>14</v>
      </c>
      <c r="C54" s="63" t="s">
        <v>2372</v>
      </c>
      <c r="D54" s="63" t="s">
        <v>2373</v>
      </c>
      <c r="E54" s="63" t="s">
        <v>2374</v>
      </c>
      <c r="F54" s="63" t="s">
        <v>2375</v>
      </c>
      <c r="G54" s="63" t="s">
        <v>2376</v>
      </c>
      <c r="H54" s="63" t="s">
        <v>18</v>
      </c>
      <c r="I54" s="63" t="s">
        <v>704</v>
      </c>
    </row>
    <row r="55" ht="11.25" customHeight="1">
      <c r="A55" s="63" t="s">
        <v>2167</v>
      </c>
      <c r="B55" s="63" t="s">
        <v>14</v>
      </c>
      <c r="C55" s="63" t="s">
        <v>2377</v>
      </c>
      <c r="D55" s="63" t="s">
        <v>2378</v>
      </c>
      <c r="E55" s="63" t="s">
        <v>2379</v>
      </c>
      <c r="F55" s="63" t="s">
        <v>2380</v>
      </c>
      <c r="G55" s="63" t="s">
        <v>2381</v>
      </c>
      <c r="H55" s="63" t="s">
        <v>18</v>
      </c>
      <c r="I55" s="63" t="s">
        <v>704</v>
      </c>
    </row>
    <row r="56" ht="11.25" customHeight="1">
      <c r="A56" s="63" t="s">
        <v>2167</v>
      </c>
      <c r="B56" s="63" t="s">
        <v>14</v>
      </c>
      <c r="C56" s="63" t="s">
        <v>2382</v>
      </c>
      <c r="D56" s="63" t="s">
        <v>2383</v>
      </c>
      <c r="E56" s="63" t="s">
        <v>2384</v>
      </c>
      <c r="F56" s="63" t="s">
        <v>2380</v>
      </c>
      <c r="G56" s="63" t="s">
        <v>2385</v>
      </c>
      <c r="H56" s="63" t="s">
        <v>18</v>
      </c>
      <c r="I56" s="63" t="s">
        <v>704</v>
      </c>
    </row>
    <row r="57" ht="11.25" customHeight="1">
      <c r="A57" s="63" t="s">
        <v>2167</v>
      </c>
      <c r="B57" s="63" t="s">
        <v>14</v>
      </c>
      <c r="C57" s="63" t="s">
        <v>2386</v>
      </c>
      <c r="D57" s="63" t="s">
        <v>2387</v>
      </c>
      <c r="E57" s="63" t="s">
        <v>2388</v>
      </c>
      <c r="F57" s="63" t="s">
        <v>2291</v>
      </c>
      <c r="G57" s="63" t="s">
        <v>2389</v>
      </c>
      <c r="H57" s="63" t="s">
        <v>18</v>
      </c>
      <c r="I57" s="63" t="s">
        <v>704</v>
      </c>
    </row>
    <row r="58" ht="11.25" customHeight="1">
      <c r="A58" s="63" t="s">
        <v>2167</v>
      </c>
      <c r="B58" s="63" t="s">
        <v>14</v>
      </c>
      <c r="C58" s="63" t="s">
        <v>2390</v>
      </c>
      <c r="D58" s="63" t="s">
        <v>2391</v>
      </c>
      <c r="E58" s="63" t="s">
        <v>2352</v>
      </c>
      <c r="F58" s="63" t="s">
        <v>2392</v>
      </c>
      <c r="G58" s="63" t="s">
        <v>2354</v>
      </c>
      <c r="H58" s="63" t="s">
        <v>18</v>
      </c>
      <c r="I58" s="63" t="s">
        <v>704</v>
      </c>
    </row>
    <row r="59" ht="11.25" customHeight="1">
      <c r="A59" s="63" t="s">
        <v>2167</v>
      </c>
      <c r="B59" s="63" t="s">
        <v>14</v>
      </c>
      <c r="C59" s="63" t="s">
        <v>2393</v>
      </c>
      <c r="D59" s="63" t="s">
        <v>2394</v>
      </c>
      <c r="E59" s="63" t="s">
        <v>2395</v>
      </c>
      <c r="F59" s="63" t="s">
        <v>2203</v>
      </c>
      <c r="G59" s="63" t="s">
        <v>18</v>
      </c>
      <c r="H59" s="63" t="s">
        <v>18</v>
      </c>
      <c r="I59" s="63" t="s">
        <v>704</v>
      </c>
    </row>
    <row r="60" ht="11.25" customHeight="1">
      <c r="A60" s="63" t="s">
        <v>2167</v>
      </c>
      <c r="B60" s="63" t="s">
        <v>14</v>
      </c>
      <c r="C60" s="63" t="s">
        <v>2396</v>
      </c>
      <c r="D60" s="63" t="s">
        <v>2397</v>
      </c>
      <c r="E60" s="63" t="s">
        <v>2398</v>
      </c>
      <c r="F60" s="63" t="s">
        <v>2218</v>
      </c>
      <c r="G60" s="63" t="s">
        <v>2399</v>
      </c>
      <c r="H60" s="63" t="s">
        <v>18</v>
      </c>
      <c r="I60" s="63" t="s">
        <v>704</v>
      </c>
    </row>
    <row r="61" ht="11.25" customHeight="1">
      <c r="A61" s="63" t="s">
        <v>2167</v>
      </c>
      <c r="B61" s="63" t="s">
        <v>14</v>
      </c>
      <c r="C61" s="63" t="s">
        <v>2400</v>
      </c>
      <c r="D61" s="63" t="s">
        <v>2401</v>
      </c>
      <c r="E61" s="63" t="s">
        <v>2402</v>
      </c>
      <c r="F61" s="63" t="s">
        <v>2403</v>
      </c>
      <c r="G61" s="63" t="s">
        <v>18</v>
      </c>
      <c r="H61" s="63" t="s">
        <v>18</v>
      </c>
      <c r="I61" s="63" t="s">
        <v>704</v>
      </c>
    </row>
    <row r="62" ht="11.25" customHeight="1">
      <c r="A62" s="63" t="s">
        <v>2167</v>
      </c>
      <c r="B62" s="63" t="s">
        <v>14</v>
      </c>
      <c r="C62" s="63" t="s">
        <v>2404</v>
      </c>
      <c r="D62" s="63" t="s">
        <v>2405</v>
      </c>
      <c r="E62" s="63" t="s">
        <v>2406</v>
      </c>
      <c r="F62" s="63" t="s">
        <v>2249</v>
      </c>
      <c r="G62" s="63" t="s">
        <v>18</v>
      </c>
      <c r="H62" s="63" t="s">
        <v>18</v>
      </c>
      <c r="I62" s="63" t="s">
        <v>704</v>
      </c>
    </row>
    <row r="63" ht="11.25" customHeight="1">
      <c r="A63" s="63" t="s">
        <v>2167</v>
      </c>
      <c r="B63" s="63" t="s">
        <v>14</v>
      </c>
      <c r="C63" s="63" t="s">
        <v>2407</v>
      </c>
      <c r="D63" s="63" t="s">
        <v>2408</v>
      </c>
      <c r="E63" s="63" t="s">
        <v>2409</v>
      </c>
      <c r="F63" s="63" t="s">
        <v>2214</v>
      </c>
      <c r="G63" s="63" t="s">
        <v>18</v>
      </c>
      <c r="H63" s="63" t="s">
        <v>18</v>
      </c>
      <c r="I63" s="63" t="s">
        <v>704</v>
      </c>
    </row>
    <row r="64" ht="11.25" customHeight="1">
      <c r="A64" s="63" t="s">
        <v>2167</v>
      </c>
      <c r="B64" s="63" t="s">
        <v>14</v>
      </c>
      <c r="C64" s="63" t="s">
        <v>2410</v>
      </c>
      <c r="D64" s="63" t="s">
        <v>2411</v>
      </c>
      <c r="E64" s="63" t="s">
        <v>2412</v>
      </c>
      <c r="F64" s="63" t="s">
        <v>2413</v>
      </c>
      <c r="G64" s="63" t="s">
        <v>18</v>
      </c>
      <c r="H64" s="63" t="s">
        <v>18</v>
      </c>
      <c r="I64" s="63" t="s">
        <v>704</v>
      </c>
    </row>
    <row r="65" ht="11.25" customHeight="1">
      <c r="A65" s="63" t="s">
        <v>2167</v>
      </c>
      <c r="B65" s="63" t="s">
        <v>14</v>
      </c>
      <c r="C65" s="63" t="s">
        <v>2414</v>
      </c>
      <c r="D65" s="63" t="s">
        <v>2415</v>
      </c>
      <c r="E65" s="63" t="s">
        <v>2416</v>
      </c>
      <c r="F65" s="63" t="s">
        <v>2417</v>
      </c>
      <c r="G65" s="63" t="s">
        <v>18</v>
      </c>
      <c r="H65" s="63" t="s">
        <v>18</v>
      </c>
      <c r="I65" s="63" t="s">
        <v>704</v>
      </c>
    </row>
    <row r="66" ht="11.25" customHeight="1">
      <c r="A66" s="63" t="s">
        <v>2167</v>
      </c>
      <c r="B66" s="63" t="s">
        <v>14</v>
      </c>
      <c r="C66" s="63" t="s">
        <v>2418</v>
      </c>
      <c r="D66" s="63" t="s">
        <v>2419</v>
      </c>
      <c r="E66" s="63" t="s">
        <v>2420</v>
      </c>
      <c r="F66" s="63" t="s">
        <v>2421</v>
      </c>
      <c r="G66" s="63" t="s">
        <v>2422</v>
      </c>
      <c r="H66" s="63" t="s">
        <v>18</v>
      </c>
      <c r="I66" s="63" t="s">
        <v>704</v>
      </c>
    </row>
    <row r="67" ht="11.25" customHeight="1">
      <c r="A67" s="63" t="s">
        <v>2167</v>
      </c>
      <c r="B67" s="63" t="s">
        <v>14</v>
      </c>
      <c r="C67" s="63" t="s">
        <v>2423</v>
      </c>
      <c r="D67" s="63" t="s">
        <v>2424</v>
      </c>
      <c r="E67" s="63" t="s">
        <v>2425</v>
      </c>
      <c r="F67" s="63" t="s">
        <v>2426</v>
      </c>
      <c r="G67" s="63" t="s">
        <v>2422</v>
      </c>
      <c r="H67" s="63" t="s">
        <v>18</v>
      </c>
      <c r="I67" s="63" t="s">
        <v>704</v>
      </c>
    </row>
    <row r="68" ht="11.25" customHeight="1">
      <c r="A68" s="63" t="s">
        <v>2167</v>
      </c>
      <c r="B68" s="63" t="s">
        <v>14</v>
      </c>
      <c r="C68" s="63" t="s">
        <v>2427</v>
      </c>
      <c r="D68" s="63" t="s">
        <v>2428</v>
      </c>
      <c r="E68" s="63" t="s">
        <v>2429</v>
      </c>
      <c r="F68" s="63" t="s">
        <v>557</v>
      </c>
      <c r="G68" s="63" t="s">
        <v>2430</v>
      </c>
      <c r="H68" s="63" t="s">
        <v>18</v>
      </c>
      <c r="I68" s="63" t="s">
        <v>704</v>
      </c>
    </row>
    <row r="69" ht="11.25" customHeight="1">
      <c r="A69" s="63" t="s">
        <v>2167</v>
      </c>
      <c r="B69" s="63" t="s">
        <v>14</v>
      </c>
      <c r="C69" s="63" t="s">
        <v>2431</v>
      </c>
      <c r="D69" s="63" t="s">
        <v>2432</v>
      </c>
      <c r="E69" s="63" t="s">
        <v>2433</v>
      </c>
      <c r="F69" s="63" t="s">
        <v>557</v>
      </c>
      <c r="G69" s="63" t="s">
        <v>2434</v>
      </c>
      <c r="H69" s="63" t="s">
        <v>18</v>
      </c>
      <c r="I69" s="63" t="s">
        <v>704</v>
      </c>
    </row>
    <row r="70" ht="11.25" customHeight="1">
      <c r="A70" s="63" t="s">
        <v>2167</v>
      </c>
      <c r="B70" s="63" t="s">
        <v>14</v>
      </c>
      <c r="C70" s="63" t="s">
        <v>2435</v>
      </c>
      <c r="D70" s="63" t="s">
        <v>2436</v>
      </c>
      <c r="E70" s="63" t="s">
        <v>2437</v>
      </c>
      <c r="F70" s="63" t="s">
        <v>557</v>
      </c>
      <c r="G70" s="63" t="s">
        <v>2438</v>
      </c>
      <c r="H70" s="63" t="s">
        <v>18</v>
      </c>
      <c r="I70" s="63" t="s">
        <v>704</v>
      </c>
    </row>
    <row r="71" ht="11.25" customHeight="1">
      <c r="A71" s="63" t="s">
        <v>2167</v>
      </c>
      <c r="B71" s="63" t="s">
        <v>14</v>
      </c>
      <c r="C71" s="63" t="s">
        <v>2439</v>
      </c>
      <c r="D71" s="63" t="s">
        <v>2440</v>
      </c>
      <c r="E71" s="63" t="s">
        <v>2441</v>
      </c>
      <c r="F71" s="63" t="s">
        <v>557</v>
      </c>
      <c r="G71" s="63" t="s">
        <v>2442</v>
      </c>
      <c r="H71" s="63" t="s">
        <v>18</v>
      </c>
      <c r="I71" s="63" t="s">
        <v>704</v>
      </c>
    </row>
    <row r="72" ht="11.25" customHeight="1">
      <c r="A72" s="63" t="s">
        <v>2167</v>
      </c>
      <c r="B72" s="63" t="s">
        <v>14</v>
      </c>
      <c r="C72" s="63" t="s">
        <v>2443</v>
      </c>
      <c r="D72" s="63" t="s">
        <v>2444</v>
      </c>
      <c r="E72" s="63" t="s">
        <v>2445</v>
      </c>
      <c r="F72" s="63" t="s">
        <v>557</v>
      </c>
      <c r="G72" s="63" t="s">
        <v>2446</v>
      </c>
      <c r="H72" s="63" t="s">
        <v>18</v>
      </c>
      <c r="I72" s="63" t="s">
        <v>704</v>
      </c>
    </row>
    <row r="73" ht="11.25" customHeight="1">
      <c r="A73" s="63" t="s">
        <v>2167</v>
      </c>
      <c r="B73" s="63" t="s">
        <v>14</v>
      </c>
      <c r="C73" s="63" t="s">
        <v>2447</v>
      </c>
      <c r="D73" s="63" t="s">
        <v>2448</v>
      </c>
      <c r="E73" s="63" t="s">
        <v>2449</v>
      </c>
      <c r="F73" s="63" t="s">
        <v>2210</v>
      </c>
      <c r="G73" s="63" t="s">
        <v>2450</v>
      </c>
      <c r="H73" s="63" t="s">
        <v>18</v>
      </c>
      <c r="I73" s="63" t="s">
        <v>704</v>
      </c>
    </row>
    <row r="74" ht="11.25" customHeight="1">
      <c r="A74" s="63" t="s">
        <v>2167</v>
      </c>
      <c r="B74" s="63" t="s">
        <v>14</v>
      </c>
      <c r="C74" s="63" t="s">
        <v>2451</v>
      </c>
      <c r="D74" s="63" t="s">
        <v>2452</v>
      </c>
      <c r="E74" s="63" t="s">
        <v>2453</v>
      </c>
      <c r="F74" s="63" t="s">
        <v>2454</v>
      </c>
      <c r="G74" s="63" t="s">
        <v>18</v>
      </c>
      <c r="H74" s="63" t="s">
        <v>18</v>
      </c>
      <c r="I74" s="63" t="s">
        <v>704</v>
      </c>
    </row>
    <row r="75" ht="11.25" customHeight="1">
      <c r="A75" s="63" t="s">
        <v>2167</v>
      </c>
      <c r="B75" s="63" t="s">
        <v>14</v>
      </c>
      <c r="C75" s="63" t="s">
        <v>2455</v>
      </c>
      <c r="D75" s="63" t="s">
        <v>2456</v>
      </c>
      <c r="E75" s="63" t="s">
        <v>2352</v>
      </c>
      <c r="F75" s="63" t="s">
        <v>2457</v>
      </c>
      <c r="G75" s="63" t="s">
        <v>2354</v>
      </c>
      <c r="H75" s="63" t="s">
        <v>18</v>
      </c>
      <c r="I75" s="63" t="s">
        <v>704</v>
      </c>
    </row>
    <row r="76" ht="11.25" customHeight="1">
      <c r="A76" s="63" t="s">
        <v>2167</v>
      </c>
      <c r="B76" s="63" t="s">
        <v>14</v>
      </c>
      <c r="C76" s="63" t="s">
        <v>2458</v>
      </c>
      <c r="D76" s="63" t="s">
        <v>2459</v>
      </c>
      <c r="E76" s="63" t="s">
        <v>2460</v>
      </c>
      <c r="F76" s="63" t="s">
        <v>2311</v>
      </c>
      <c r="G76" s="63" t="s">
        <v>2461</v>
      </c>
      <c r="H76" s="63" t="s">
        <v>18</v>
      </c>
      <c r="I76" s="63" t="s">
        <v>704</v>
      </c>
    </row>
    <row r="77" ht="11.25" customHeight="1">
      <c r="A77" s="63" t="s">
        <v>2167</v>
      </c>
      <c r="B77" s="63" t="s">
        <v>14</v>
      </c>
      <c r="C77" s="63" t="s">
        <v>2462</v>
      </c>
      <c r="D77" s="63" t="s">
        <v>2463</v>
      </c>
      <c r="E77" s="63" t="s">
        <v>2464</v>
      </c>
      <c r="F77" s="63" t="s">
        <v>2465</v>
      </c>
      <c r="G77" s="63" t="s">
        <v>18</v>
      </c>
      <c r="H77" s="63" t="s">
        <v>18</v>
      </c>
      <c r="I77" s="63" t="s">
        <v>704</v>
      </c>
    </row>
    <row r="78" ht="11.25" customHeight="1">
      <c r="A78" s="63" t="s">
        <v>2167</v>
      </c>
      <c r="B78" s="63" t="s">
        <v>14</v>
      </c>
      <c r="C78" s="63" t="s">
        <v>2466</v>
      </c>
      <c r="D78" s="63" t="s">
        <v>2467</v>
      </c>
      <c r="E78" s="63" t="s">
        <v>2468</v>
      </c>
      <c r="F78" s="63" t="s">
        <v>2469</v>
      </c>
      <c r="G78" s="63" t="s">
        <v>2470</v>
      </c>
      <c r="H78" s="63" t="s">
        <v>18</v>
      </c>
      <c r="I78" s="63" t="s">
        <v>704</v>
      </c>
    </row>
    <row r="79" ht="11.25" customHeight="1">
      <c r="A79" s="63" t="s">
        <v>2167</v>
      </c>
      <c r="B79" s="63" t="s">
        <v>14</v>
      </c>
      <c r="C79" s="63" t="s">
        <v>2471</v>
      </c>
      <c r="D79" s="63" t="s">
        <v>2472</v>
      </c>
      <c r="E79" s="63" t="s">
        <v>2473</v>
      </c>
      <c r="F79" s="63" t="s">
        <v>2474</v>
      </c>
      <c r="G79" s="63" t="s">
        <v>2475</v>
      </c>
      <c r="H79" s="63" t="s">
        <v>18</v>
      </c>
      <c r="I79" s="63" t="s">
        <v>704</v>
      </c>
    </row>
    <row r="80" ht="11.25" customHeight="1">
      <c r="A80" s="63" t="s">
        <v>2167</v>
      </c>
      <c r="B80" s="63" t="s">
        <v>14</v>
      </c>
      <c r="C80" s="63" t="s">
        <v>2476</v>
      </c>
      <c r="D80" s="63" t="s">
        <v>2477</v>
      </c>
      <c r="E80" s="63" t="s">
        <v>2478</v>
      </c>
      <c r="F80" s="63" t="s">
        <v>2465</v>
      </c>
      <c r="G80" s="63" t="s">
        <v>2479</v>
      </c>
      <c r="H80" s="63" t="s">
        <v>18</v>
      </c>
      <c r="I80" s="63" t="s">
        <v>704</v>
      </c>
    </row>
    <row r="81" ht="11.25" customHeight="1">
      <c r="A81" s="63" t="s">
        <v>2167</v>
      </c>
      <c r="B81" s="63" t="s">
        <v>14</v>
      </c>
      <c r="C81" s="63" t="s">
        <v>2480</v>
      </c>
      <c r="D81" s="63" t="s">
        <v>2481</v>
      </c>
      <c r="E81" s="63" t="s">
        <v>2482</v>
      </c>
      <c r="F81" s="63" t="s">
        <v>2483</v>
      </c>
      <c r="G81" s="63" t="s">
        <v>18</v>
      </c>
      <c r="H81" s="63" t="s">
        <v>18</v>
      </c>
      <c r="I81" s="63" t="s">
        <v>704</v>
      </c>
    </row>
    <row r="82" ht="11.25" customHeight="1">
      <c r="A82" s="63" t="s">
        <v>2167</v>
      </c>
      <c r="B82" s="63" t="s">
        <v>14</v>
      </c>
      <c r="C82" s="63" t="s">
        <v>2484</v>
      </c>
      <c r="D82" s="63" t="s">
        <v>2485</v>
      </c>
      <c r="E82" s="63" t="s">
        <v>2486</v>
      </c>
      <c r="F82" s="63" t="s">
        <v>2483</v>
      </c>
      <c r="G82" s="63" t="s">
        <v>18</v>
      </c>
      <c r="H82" s="63" t="s">
        <v>18</v>
      </c>
      <c r="I82" s="63" t="s">
        <v>704</v>
      </c>
    </row>
    <row r="83" ht="11.25" customHeight="1">
      <c r="A83" s="63" t="s">
        <v>2167</v>
      </c>
      <c r="B83" s="63" t="s">
        <v>14</v>
      </c>
      <c r="C83" s="63" t="s">
        <v>2487</v>
      </c>
      <c r="D83" s="63" t="s">
        <v>2488</v>
      </c>
      <c r="E83" s="63" t="s">
        <v>2489</v>
      </c>
      <c r="F83" s="63" t="s">
        <v>2203</v>
      </c>
      <c r="G83" s="63" t="s">
        <v>18</v>
      </c>
      <c r="H83" s="63" t="s">
        <v>18</v>
      </c>
      <c r="I83" s="63" t="s">
        <v>704</v>
      </c>
    </row>
    <row r="84" ht="11.25" customHeight="1">
      <c r="A84" s="63" t="s">
        <v>2167</v>
      </c>
      <c r="B84" s="63" t="s">
        <v>14</v>
      </c>
      <c r="C84" s="63" t="s">
        <v>2490</v>
      </c>
      <c r="D84" s="63" t="s">
        <v>2491</v>
      </c>
      <c r="E84" s="63" t="s">
        <v>2492</v>
      </c>
      <c r="F84" s="63" t="s">
        <v>2493</v>
      </c>
      <c r="G84" s="63" t="s">
        <v>18</v>
      </c>
      <c r="H84" s="63" t="s">
        <v>18</v>
      </c>
      <c r="I84" s="63" t="s">
        <v>704</v>
      </c>
    </row>
    <row r="85" ht="11.25" customHeight="1">
      <c r="A85" s="63" t="s">
        <v>2167</v>
      </c>
      <c r="B85" s="63" t="s">
        <v>14</v>
      </c>
      <c r="C85" s="63" t="s">
        <v>2494</v>
      </c>
      <c r="D85" s="63" t="s">
        <v>2495</v>
      </c>
      <c r="E85" s="63" t="s">
        <v>2496</v>
      </c>
      <c r="F85" s="63" t="s">
        <v>2497</v>
      </c>
      <c r="G85" s="63" t="s">
        <v>2498</v>
      </c>
      <c r="H85" s="63" t="s">
        <v>18</v>
      </c>
      <c r="I85" s="63" t="s">
        <v>704</v>
      </c>
    </row>
    <row r="86" ht="11.25" customHeight="1">
      <c r="A86" s="63" t="s">
        <v>2167</v>
      </c>
      <c r="B86" s="63" t="s">
        <v>14</v>
      </c>
      <c r="C86" s="63" t="s">
        <v>2499</v>
      </c>
      <c r="D86" s="63" t="s">
        <v>2500</v>
      </c>
      <c r="E86" s="63" t="s">
        <v>2501</v>
      </c>
      <c r="F86" s="63" t="s">
        <v>2502</v>
      </c>
      <c r="G86" s="63" t="s">
        <v>18</v>
      </c>
      <c r="H86" s="63" t="s">
        <v>18</v>
      </c>
      <c r="I86" s="63" t="s">
        <v>704</v>
      </c>
    </row>
    <row r="87" ht="11.25" customHeight="1">
      <c r="A87" s="63" t="s">
        <v>2167</v>
      </c>
      <c r="B87" s="63" t="s">
        <v>14</v>
      </c>
      <c r="C87" s="63" t="s">
        <v>2503</v>
      </c>
      <c r="D87" s="63" t="s">
        <v>2504</v>
      </c>
      <c r="E87" s="63" t="s">
        <v>2505</v>
      </c>
      <c r="F87" s="63" t="s">
        <v>2506</v>
      </c>
      <c r="G87" s="63" t="s">
        <v>2507</v>
      </c>
      <c r="H87" s="63" t="s">
        <v>18</v>
      </c>
      <c r="I87" s="63" t="s">
        <v>704</v>
      </c>
    </row>
    <row r="88" ht="11.25" customHeight="1">
      <c r="A88" s="63" t="s">
        <v>2167</v>
      </c>
      <c r="B88" s="63" t="s">
        <v>14</v>
      </c>
      <c r="C88" s="63" t="s">
        <v>2508</v>
      </c>
      <c r="D88" s="63" t="s">
        <v>2509</v>
      </c>
      <c r="E88" s="63" t="s">
        <v>2510</v>
      </c>
      <c r="F88" s="63" t="s">
        <v>2417</v>
      </c>
      <c r="G88" s="63" t="s">
        <v>18</v>
      </c>
      <c r="H88" s="63" t="s">
        <v>18</v>
      </c>
      <c r="I88" s="63" t="s">
        <v>704</v>
      </c>
    </row>
    <row r="89" ht="11.25" customHeight="1">
      <c r="A89" s="63" t="s">
        <v>2167</v>
      </c>
      <c r="B89" s="63" t="s">
        <v>14</v>
      </c>
      <c r="C89" s="63" t="s">
        <v>2511</v>
      </c>
      <c r="D89" s="63" t="s">
        <v>2512</v>
      </c>
      <c r="E89" s="63" t="s">
        <v>2513</v>
      </c>
      <c r="F89" s="63" t="s">
        <v>2514</v>
      </c>
      <c r="G89" s="63" t="s">
        <v>18</v>
      </c>
      <c r="H89" s="63" t="s">
        <v>18</v>
      </c>
      <c r="I89" s="63" t="s">
        <v>704</v>
      </c>
    </row>
    <row r="90" ht="11.25" customHeight="1">
      <c r="A90" s="63" t="s">
        <v>2167</v>
      </c>
      <c r="B90" s="63" t="s">
        <v>14</v>
      </c>
      <c r="C90" s="63" t="s">
        <v>2515</v>
      </c>
      <c r="D90" s="63" t="s">
        <v>2516</v>
      </c>
      <c r="E90" s="63" t="s">
        <v>2517</v>
      </c>
      <c r="F90" s="63" t="s">
        <v>2180</v>
      </c>
      <c r="G90" s="63" t="s">
        <v>2518</v>
      </c>
      <c r="H90" s="63" t="s">
        <v>18</v>
      </c>
      <c r="I90" s="63" t="s">
        <v>704</v>
      </c>
    </row>
    <row r="91" ht="11.25" customHeight="1">
      <c r="A91" s="63" t="s">
        <v>2167</v>
      </c>
      <c r="B91" s="63" t="s">
        <v>14</v>
      </c>
      <c r="C91" s="63" t="s">
        <v>2519</v>
      </c>
      <c r="D91" s="63" t="s">
        <v>2520</v>
      </c>
      <c r="E91" s="63" t="s">
        <v>2521</v>
      </c>
      <c r="F91" s="63" t="s">
        <v>2522</v>
      </c>
      <c r="G91" s="63" t="s">
        <v>2523</v>
      </c>
      <c r="H91" s="63" t="s">
        <v>18</v>
      </c>
      <c r="I91" s="63" t="s">
        <v>704</v>
      </c>
    </row>
    <row r="92" ht="11.25" customHeight="1">
      <c r="A92" s="63" t="s">
        <v>2167</v>
      </c>
      <c r="B92" s="63" t="s">
        <v>14</v>
      </c>
      <c r="C92" s="63" t="s">
        <v>2524</v>
      </c>
      <c r="D92" s="63" t="s">
        <v>2525</v>
      </c>
      <c r="E92" s="63" t="s">
        <v>2526</v>
      </c>
      <c r="F92" s="63" t="s">
        <v>2421</v>
      </c>
      <c r="G92" s="63" t="s">
        <v>2422</v>
      </c>
      <c r="H92" s="63" t="s">
        <v>18</v>
      </c>
      <c r="I92" s="63" t="s">
        <v>704</v>
      </c>
    </row>
    <row r="93" ht="11.25" customHeight="1">
      <c r="A93" s="63" t="s">
        <v>2167</v>
      </c>
      <c r="B93" s="63" t="s">
        <v>14</v>
      </c>
      <c r="C93" s="63" t="s">
        <v>2527</v>
      </c>
      <c r="D93" s="63" t="s">
        <v>2528</v>
      </c>
      <c r="E93" s="63" t="s">
        <v>2529</v>
      </c>
      <c r="F93" s="63" t="s">
        <v>2311</v>
      </c>
      <c r="G93" s="63" t="s">
        <v>2530</v>
      </c>
      <c r="H93" s="63" t="s">
        <v>18</v>
      </c>
      <c r="I93" s="63" t="s">
        <v>704</v>
      </c>
    </row>
    <row r="94" ht="11.25" customHeight="1">
      <c r="A94" s="63" t="s">
        <v>2167</v>
      </c>
      <c r="B94" s="63" t="s">
        <v>14</v>
      </c>
      <c r="C94" s="63" t="s">
        <v>2531</v>
      </c>
      <c r="D94" s="63" t="s">
        <v>2532</v>
      </c>
      <c r="E94" s="63" t="s">
        <v>2533</v>
      </c>
      <c r="F94" s="63" t="s">
        <v>2465</v>
      </c>
      <c r="G94" s="63" t="s">
        <v>2534</v>
      </c>
      <c r="H94" s="63" t="s">
        <v>18</v>
      </c>
      <c r="I94" s="63" t="s">
        <v>704</v>
      </c>
    </row>
    <row r="95" ht="11.25" customHeight="1">
      <c r="A95" s="63" t="s">
        <v>2167</v>
      </c>
      <c r="B95" s="63" t="s">
        <v>14</v>
      </c>
      <c r="C95" s="63" t="s">
        <v>2535</v>
      </c>
      <c r="D95" s="63" t="s">
        <v>2536</v>
      </c>
      <c r="E95" s="63" t="s">
        <v>2537</v>
      </c>
      <c r="F95" s="63" t="s">
        <v>2538</v>
      </c>
      <c r="G95" s="63" t="s">
        <v>2539</v>
      </c>
      <c r="H95" s="63" t="s">
        <v>18</v>
      </c>
      <c r="I95" s="63" t="s">
        <v>704</v>
      </c>
    </row>
    <row r="96" ht="11.25" customHeight="1">
      <c r="A96" s="63" t="s">
        <v>2167</v>
      </c>
      <c r="B96" s="63" t="s">
        <v>14</v>
      </c>
      <c r="C96" s="63" t="s">
        <v>2540</v>
      </c>
      <c r="D96" s="63" t="s">
        <v>2541</v>
      </c>
      <c r="E96" s="63" t="s">
        <v>2542</v>
      </c>
      <c r="F96" s="63" t="s">
        <v>2522</v>
      </c>
      <c r="G96" s="63" t="s">
        <v>2543</v>
      </c>
      <c r="H96" s="63" t="s">
        <v>18</v>
      </c>
      <c r="I96" s="63" t="s">
        <v>704</v>
      </c>
    </row>
    <row r="97" ht="11.25" customHeight="1">
      <c r="A97" s="63" t="s">
        <v>2167</v>
      </c>
      <c r="B97" s="63" t="s">
        <v>14</v>
      </c>
      <c r="C97" s="63" t="s">
        <v>2544</v>
      </c>
      <c r="D97" s="63" t="s">
        <v>2545</v>
      </c>
      <c r="E97" s="63" t="s">
        <v>2546</v>
      </c>
      <c r="F97" s="63" t="s">
        <v>2497</v>
      </c>
      <c r="G97" s="63" t="s">
        <v>18</v>
      </c>
      <c r="H97" s="63" t="s">
        <v>18</v>
      </c>
      <c r="I97" s="63" t="s">
        <v>704</v>
      </c>
    </row>
    <row r="98" ht="11.25" customHeight="1">
      <c r="A98" s="63" t="s">
        <v>2167</v>
      </c>
      <c r="B98" s="63" t="s">
        <v>14</v>
      </c>
      <c r="C98" s="63" t="s">
        <v>2547</v>
      </c>
      <c r="D98" s="63" t="s">
        <v>2548</v>
      </c>
      <c r="E98" s="63" t="s">
        <v>2549</v>
      </c>
      <c r="F98" s="63" t="s">
        <v>2550</v>
      </c>
      <c r="G98" s="63" t="s">
        <v>18</v>
      </c>
      <c r="H98" s="63" t="s">
        <v>18</v>
      </c>
      <c r="I98" s="63" t="s">
        <v>704</v>
      </c>
    </row>
    <row r="99" ht="11.25" customHeight="1">
      <c r="A99" s="63" t="s">
        <v>2167</v>
      </c>
      <c r="B99" s="63" t="s">
        <v>14</v>
      </c>
      <c r="C99" s="63" t="s">
        <v>2551</v>
      </c>
      <c r="D99" s="63" t="s">
        <v>2552</v>
      </c>
      <c r="E99" s="63" t="s">
        <v>2553</v>
      </c>
      <c r="F99" s="63" t="s">
        <v>2506</v>
      </c>
      <c r="G99" s="63" t="s">
        <v>18</v>
      </c>
      <c r="H99" s="63" t="s">
        <v>18</v>
      </c>
      <c r="I99" s="63" t="s">
        <v>704</v>
      </c>
    </row>
    <row r="100" ht="11.25" customHeight="1">
      <c r="A100" s="63" t="s">
        <v>2167</v>
      </c>
      <c r="B100" s="63" t="s">
        <v>14</v>
      </c>
      <c r="C100" s="63" t="s">
        <v>2554</v>
      </c>
      <c r="D100" s="63" t="s">
        <v>2555</v>
      </c>
      <c r="E100" s="63" t="s">
        <v>2556</v>
      </c>
      <c r="F100" s="63" t="s">
        <v>2557</v>
      </c>
      <c r="G100" s="63" t="s">
        <v>2558</v>
      </c>
      <c r="H100" s="63" t="s">
        <v>18</v>
      </c>
      <c r="I100" s="63" t="s">
        <v>704</v>
      </c>
    </row>
    <row r="101" ht="11.25" customHeight="1">
      <c r="A101" s="63" t="s">
        <v>2167</v>
      </c>
      <c r="B101" s="63" t="s">
        <v>14</v>
      </c>
      <c r="C101" s="63" t="s">
        <v>2559</v>
      </c>
      <c r="D101" s="63" t="s">
        <v>2560</v>
      </c>
      <c r="E101" s="63" t="s">
        <v>2561</v>
      </c>
      <c r="F101" s="63" t="s">
        <v>2319</v>
      </c>
      <c r="G101" s="63" t="s">
        <v>2562</v>
      </c>
      <c r="H101" s="63" t="s">
        <v>18</v>
      </c>
      <c r="I101" s="63" t="s">
        <v>704</v>
      </c>
    </row>
    <row r="102" ht="11.25" customHeight="1">
      <c r="A102" s="63" t="s">
        <v>2167</v>
      </c>
      <c r="B102" s="63" t="s">
        <v>14</v>
      </c>
      <c r="C102" s="63" t="s">
        <v>2563</v>
      </c>
      <c r="D102" s="63" t="s">
        <v>2564</v>
      </c>
      <c r="E102" s="63" t="s">
        <v>2565</v>
      </c>
      <c r="F102" s="63" t="s">
        <v>2483</v>
      </c>
      <c r="G102" s="63" t="s">
        <v>18</v>
      </c>
      <c r="H102" s="63" t="s">
        <v>18</v>
      </c>
      <c r="I102" s="63" t="s">
        <v>704</v>
      </c>
    </row>
    <row r="103" ht="11.25" customHeight="1">
      <c r="A103" s="63" t="s">
        <v>2167</v>
      </c>
      <c r="B103" s="63" t="s">
        <v>14</v>
      </c>
      <c r="C103" s="63" t="s">
        <v>2566</v>
      </c>
      <c r="D103" s="63" t="s">
        <v>2567</v>
      </c>
      <c r="E103" s="63" t="s">
        <v>2568</v>
      </c>
      <c r="F103" s="63" t="s">
        <v>2291</v>
      </c>
      <c r="G103" s="63" t="s">
        <v>18</v>
      </c>
      <c r="H103" s="63" t="s">
        <v>18</v>
      </c>
      <c r="I103" s="63" t="s">
        <v>704</v>
      </c>
    </row>
    <row r="104" ht="11.25" customHeight="1">
      <c r="A104" s="63" t="s">
        <v>2167</v>
      </c>
      <c r="B104" s="63" t="s">
        <v>14</v>
      </c>
      <c r="C104" s="63" t="s">
        <v>2569</v>
      </c>
      <c r="D104" s="63" t="s">
        <v>2570</v>
      </c>
      <c r="E104" s="63" t="s">
        <v>2571</v>
      </c>
      <c r="F104" s="63" t="s">
        <v>2572</v>
      </c>
      <c r="G104" s="63" t="s">
        <v>2573</v>
      </c>
      <c r="H104" s="63" t="s">
        <v>18</v>
      </c>
      <c r="I104" s="63" t="s">
        <v>704</v>
      </c>
    </row>
    <row r="105" ht="11.25" customHeight="1">
      <c r="A105" s="63" t="s">
        <v>2167</v>
      </c>
      <c r="B105" s="63" t="s">
        <v>14</v>
      </c>
      <c r="C105" s="63" t="s">
        <v>2574</v>
      </c>
      <c r="D105" s="63" t="s">
        <v>2575</v>
      </c>
      <c r="E105" s="63" t="s">
        <v>2576</v>
      </c>
      <c r="F105" s="63" t="s">
        <v>2577</v>
      </c>
      <c r="G105" s="63" t="s">
        <v>2578</v>
      </c>
      <c r="H105" s="63" t="s">
        <v>18</v>
      </c>
      <c r="I105" s="63" t="s">
        <v>704</v>
      </c>
    </row>
    <row r="106" ht="11.25" customHeight="1">
      <c r="A106" s="63" t="s">
        <v>2167</v>
      </c>
      <c r="B106" s="63" t="s">
        <v>14</v>
      </c>
      <c r="C106" s="63" t="s">
        <v>2579</v>
      </c>
      <c r="D106" s="63" t="s">
        <v>2580</v>
      </c>
      <c r="E106" s="63" t="s">
        <v>2581</v>
      </c>
      <c r="F106" s="63" t="s">
        <v>2413</v>
      </c>
      <c r="G106" s="63" t="s">
        <v>18</v>
      </c>
      <c r="H106" s="63" t="s">
        <v>18</v>
      </c>
      <c r="I106" s="63" t="s">
        <v>704</v>
      </c>
    </row>
    <row r="107" ht="11.25" customHeight="1">
      <c r="A107" s="63" t="s">
        <v>2167</v>
      </c>
      <c r="B107" s="63" t="s">
        <v>14</v>
      </c>
      <c r="C107" s="63" t="s">
        <v>2582</v>
      </c>
      <c r="D107" s="63" t="s">
        <v>2583</v>
      </c>
      <c r="E107" s="63" t="s">
        <v>2584</v>
      </c>
      <c r="F107" s="63" t="s">
        <v>2465</v>
      </c>
      <c r="G107" s="63" t="s">
        <v>2585</v>
      </c>
      <c r="H107" s="63" t="s">
        <v>18</v>
      </c>
      <c r="I107" s="63" t="s">
        <v>704</v>
      </c>
    </row>
    <row r="108" ht="11.25" customHeight="1">
      <c r="A108" s="63" t="s">
        <v>2167</v>
      </c>
      <c r="B108" s="63" t="s">
        <v>14</v>
      </c>
      <c r="C108" s="63" t="s">
        <v>2586</v>
      </c>
      <c r="D108" s="63" t="s">
        <v>2587</v>
      </c>
      <c r="E108" s="63" t="s">
        <v>2588</v>
      </c>
      <c r="F108" s="63" t="s">
        <v>2403</v>
      </c>
      <c r="G108" s="63" t="s">
        <v>2589</v>
      </c>
      <c r="H108" s="63" t="s">
        <v>18</v>
      </c>
      <c r="I108" s="63" t="s">
        <v>704</v>
      </c>
    </row>
    <row r="109" ht="11.25" customHeight="1">
      <c r="A109" s="63" t="s">
        <v>2167</v>
      </c>
      <c r="B109" s="63" t="s">
        <v>14</v>
      </c>
      <c r="C109" s="63" t="s">
        <v>2590</v>
      </c>
      <c r="D109" s="63" t="s">
        <v>2591</v>
      </c>
      <c r="E109" s="63" t="s">
        <v>2592</v>
      </c>
      <c r="F109" s="63" t="s">
        <v>2593</v>
      </c>
      <c r="G109" s="63" t="s">
        <v>2594</v>
      </c>
      <c r="H109" s="63" t="s">
        <v>18</v>
      </c>
      <c r="I109" s="63" t="s">
        <v>704</v>
      </c>
    </row>
    <row r="110" ht="11.25" customHeight="1">
      <c r="A110" s="63" t="s">
        <v>2167</v>
      </c>
      <c r="B110" s="63" t="s">
        <v>14</v>
      </c>
      <c r="C110" s="63" t="s">
        <v>2595</v>
      </c>
      <c r="D110" s="63" t="s">
        <v>2596</v>
      </c>
      <c r="E110" s="63" t="s">
        <v>2597</v>
      </c>
      <c r="F110" s="63" t="s">
        <v>2598</v>
      </c>
      <c r="G110" s="63" t="s">
        <v>18</v>
      </c>
      <c r="H110" s="63" t="s">
        <v>18</v>
      </c>
      <c r="I110" s="63" t="s">
        <v>704</v>
      </c>
    </row>
    <row r="111" ht="11.25" customHeight="1">
      <c r="A111" s="63" t="s">
        <v>2167</v>
      </c>
      <c r="B111" s="63" t="s">
        <v>14</v>
      </c>
      <c r="C111" s="63" t="s">
        <v>2599</v>
      </c>
      <c r="D111" s="63" t="s">
        <v>2600</v>
      </c>
      <c r="E111" s="63" t="s">
        <v>2601</v>
      </c>
      <c r="F111" s="63" t="s">
        <v>2602</v>
      </c>
      <c r="G111" s="63" t="s">
        <v>2603</v>
      </c>
      <c r="H111" s="63" t="s">
        <v>18</v>
      </c>
      <c r="I111" s="63" t="s">
        <v>704</v>
      </c>
    </row>
    <row r="112" ht="11.25" customHeight="1">
      <c r="A112" s="63" t="s">
        <v>2167</v>
      </c>
      <c r="B112" s="63" t="s">
        <v>14</v>
      </c>
      <c r="C112" s="63" t="s">
        <v>2604</v>
      </c>
      <c r="D112" s="63" t="s">
        <v>2605</v>
      </c>
      <c r="E112" s="63" t="s">
        <v>2606</v>
      </c>
      <c r="F112" s="63" t="s">
        <v>2607</v>
      </c>
      <c r="G112" s="63" t="s">
        <v>18</v>
      </c>
      <c r="H112" s="63" t="s">
        <v>18</v>
      </c>
      <c r="I112" s="63" t="s">
        <v>704</v>
      </c>
    </row>
    <row r="113" ht="11.25" customHeight="1">
      <c r="A113" s="63" t="s">
        <v>2167</v>
      </c>
      <c r="B113" s="63" t="s">
        <v>14</v>
      </c>
      <c r="C113" s="63" t="s">
        <v>2608</v>
      </c>
      <c r="D113" s="63" t="s">
        <v>2609</v>
      </c>
      <c r="E113" s="63" t="s">
        <v>2610</v>
      </c>
      <c r="F113" s="63" t="s">
        <v>2611</v>
      </c>
      <c r="G113" s="63" t="s">
        <v>18</v>
      </c>
      <c r="H113" s="63" t="s">
        <v>18</v>
      </c>
      <c r="I113" s="63" t="s">
        <v>704</v>
      </c>
    </row>
    <row r="114" ht="11.25" customHeight="1">
      <c r="A114" s="63" t="s">
        <v>2167</v>
      </c>
      <c r="B114" s="63" t="s">
        <v>14</v>
      </c>
      <c r="C114" s="63" t="s">
        <v>2612</v>
      </c>
      <c r="D114" s="63" t="s">
        <v>2613</v>
      </c>
      <c r="E114" s="63" t="s">
        <v>2614</v>
      </c>
      <c r="F114" s="63" t="s">
        <v>2380</v>
      </c>
      <c r="G114" s="63" t="s">
        <v>2615</v>
      </c>
      <c r="H114" s="63" t="s">
        <v>18</v>
      </c>
      <c r="I114" s="63" t="s">
        <v>704</v>
      </c>
    </row>
    <row r="115" ht="11.25" customHeight="1">
      <c r="A115" s="63" t="s">
        <v>2167</v>
      </c>
      <c r="B115" s="63" t="s">
        <v>14</v>
      </c>
      <c r="C115" s="63" t="s">
        <v>2616</v>
      </c>
      <c r="D115" s="63" t="s">
        <v>2617</v>
      </c>
      <c r="E115" s="63" t="s">
        <v>2618</v>
      </c>
      <c r="F115" s="63" t="s">
        <v>2483</v>
      </c>
      <c r="G115" s="63" t="s">
        <v>18</v>
      </c>
      <c r="H115" s="63" t="s">
        <v>18</v>
      </c>
      <c r="I115" s="63" t="s">
        <v>704</v>
      </c>
    </row>
    <row r="116" ht="11.25" customHeight="1">
      <c r="A116" s="63" t="s">
        <v>2167</v>
      </c>
      <c r="B116" s="63" t="s">
        <v>14</v>
      </c>
      <c r="C116" s="63" t="s">
        <v>2619</v>
      </c>
      <c r="D116" s="63" t="s">
        <v>2620</v>
      </c>
      <c r="E116" s="63" t="s">
        <v>2621</v>
      </c>
      <c r="F116" s="63" t="s">
        <v>2622</v>
      </c>
      <c r="G116" s="63" t="s">
        <v>18</v>
      </c>
      <c r="H116" s="63" t="s">
        <v>18</v>
      </c>
      <c r="I116" s="63" t="s">
        <v>704</v>
      </c>
    </row>
    <row r="117" ht="11.25" customHeight="1">
      <c r="A117" s="63" t="s">
        <v>2167</v>
      </c>
      <c r="B117" s="63" t="s">
        <v>14</v>
      </c>
      <c r="C117" s="63" t="s">
        <v>2623</v>
      </c>
      <c r="D117" s="63" t="s">
        <v>2624</v>
      </c>
      <c r="E117" s="63" t="s">
        <v>2625</v>
      </c>
      <c r="F117" s="63" t="s">
        <v>2626</v>
      </c>
      <c r="G117" s="63" t="s">
        <v>18</v>
      </c>
      <c r="H117" s="63" t="s">
        <v>18</v>
      </c>
      <c r="I117" s="63" t="s">
        <v>704</v>
      </c>
    </row>
    <row r="118" ht="11.25" customHeight="1">
      <c r="A118" s="63" t="s">
        <v>2167</v>
      </c>
      <c r="B118" s="63" t="s">
        <v>14</v>
      </c>
      <c r="C118" s="63" t="s">
        <v>2627</v>
      </c>
      <c r="D118" s="63" t="s">
        <v>2628</v>
      </c>
      <c r="E118" s="63" t="s">
        <v>2629</v>
      </c>
      <c r="F118" s="63" t="s">
        <v>2630</v>
      </c>
      <c r="G118" s="63" t="s">
        <v>2631</v>
      </c>
      <c r="H118" s="63" t="s">
        <v>18</v>
      </c>
      <c r="I118" s="63" t="s">
        <v>704</v>
      </c>
    </row>
    <row r="119" ht="11.25" customHeight="1">
      <c r="A119" s="63" t="s">
        <v>2167</v>
      </c>
      <c r="B119" s="63" t="s">
        <v>14</v>
      </c>
      <c r="C119" s="63" t="s">
        <v>2632</v>
      </c>
      <c r="D119" s="63" t="s">
        <v>2633</v>
      </c>
      <c r="E119" s="63" t="s">
        <v>2634</v>
      </c>
      <c r="F119" s="63" t="s">
        <v>2483</v>
      </c>
      <c r="G119" s="63" t="s">
        <v>18</v>
      </c>
      <c r="H119" s="63" t="s">
        <v>18</v>
      </c>
      <c r="I119" s="63" t="s">
        <v>704</v>
      </c>
    </row>
    <row r="120" ht="11.25" customHeight="1">
      <c r="A120" s="63" t="s">
        <v>2167</v>
      </c>
      <c r="B120" s="63" t="s">
        <v>14</v>
      </c>
      <c r="C120" s="63" t="s">
        <v>2635</v>
      </c>
      <c r="D120" s="63" t="s">
        <v>2636</v>
      </c>
      <c r="E120" s="63" t="s">
        <v>2637</v>
      </c>
      <c r="F120" s="63" t="s">
        <v>2185</v>
      </c>
      <c r="G120" s="63" t="s">
        <v>18</v>
      </c>
      <c r="H120" s="63" t="s">
        <v>18</v>
      </c>
      <c r="I120" s="63" t="s">
        <v>704</v>
      </c>
    </row>
    <row r="121" ht="11.25" customHeight="1">
      <c r="A121" s="63" t="s">
        <v>2167</v>
      </c>
      <c r="B121" s="63" t="s">
        <v>14</v>
      </c>
      <c r="C121" s="63" t="s">
        <v>2638</v>
      </c>
      <c r="D121" s="63" t="s">
        <v>2639</v>
      </c>
      <c r="E121" s="63" t="s">
        <v>2640</v>
      </c>
      <c r="F121" s="63" t="s">
        <v>2474</v>
      </c>
      <c r="G121" s="63" t="s">
        <v>2641</v>
      </c>
      <c r="H121" s="63" t="s">
        <v>18</v>
      </c>
      <c r="I121" s="63" t="s">
        <v>704</v>
      </c>
    </row>
    <row r="122" ht="11.25" customHeight="1">
      <c r="A122" s="63" t="s">
        <v>2167</v>
      </c>
      <c r="B122" s="63" t="s">
        <v>14</v>
      </c>
      <c r="C122" s="63" t="s">
        <v>2642</v>
      </c>
      <c r="D122" s="63" t="s">
        <v>2643</v>
      </c>
      <c r="E122" s="63" t="s">
        <v>2644</v>
      </c>
      <c r="F122" s="63" t="s">
        <v>2645</v>
      </c>
      <c r="G122" s="63" t="s">
        <v>2646</v>
      </c>
      <c r="H122" s="63" t="s">
        <v>18</v>
      </c>
      <c r="I122" s="63" t="s">
        <v>704</v>
      </c>
    </row>
    <row r="123" ht="11.25" customHeight="1">
      <c r="A123" s="63" t="s">
        <v>2167</v>
      </c>
      <c r="B123" s="63" t="s">
        <v>14</v>
      </c>
      <c r="C123" s="63" t="s">
        <v>2647</v>
      </c>
      <c r="D123" s="63" t="s">
        <v>2648</v>
      </c>
      <c r="E123" s="63" t="s">
        <v>2649</v>
      </c>
      <c r="F123" s="63" t="s">
        <v>2291</v>
      </c>
      <c r="G123" s="63" t="s">
        <v>18</v>
      </c>
      <c r="H123" s="63" t="s">
        <v>18</v>
      </c>
      <c r="I123" s="63" t="s">
        <v>704</v>
      </c>
    </row>
    <row r="124" ht="11.25" customHeight="1">
      <c r="A124" s="63" t="s">
        <v>2167</v>
      </c>
      <c r="B124" s="63" t="s">
        <v>14</v>
      </c>
      <c r="C124" s="63" t="s">
        <v>2650</v>
      </c>
      <c r="D124" s="63" t="s">
        <v>2651</v>
      </c>
      <c r="E124" s="63" t="s">
        <v>2652</v>
      </c>
      <c r="F124" s="63" t="s">
        <v>2474</v>
      </c>
      <c r="G124" s="63" t="s">
        <v>18</v>
      </c>
      <c r="H124" s="63" t="s">
        <v>18</v>
      </c>
      <c r="I124" s="63" t="s">
        <v>704</v>
      </c>
    </row>
    <row r="125" ht="11.25" customHeight="1">
      <c r="A125" s="63" t="s">
        <v>2167</v>
      </c>
      <c r="B125" s="63" t="s">
        <v>14</v>
      </c>
      <c r="C125" s="63" t="s">
        <v>2653</v>
      </c>
      <c r="D125" s="63" t="s">
        <v>2654</v>
      </c>
      <c r="E125" s="63" t="s">
        <v>2655</v>
      </c>
      <c r="F125" s="63" t="s">
        <v>2656</v>
      </c>
      <c r="G125" s="63" t="s">
        <v>18</v>
      </c>
      <c r="H125" s="63" t="s">
        <v>18</v>
      </c>
      <c r="I125" s="63" t="s">
        <v>704</v>
      </c>
    </row>
    <row r="126" ht="11.25" customHeight="1">
      <c r="A126" s="63" t="s">
        <v>2167</v>
      </c>
      <c r="B126" s="63" t="s">
        <v>14</v>
      </c>
      <c r="C126" s="63" t="s">
        <v>2657</v>
      </c>
      <c r="D126" s="63" t="s">
        <v>2658</v>
      </c>
      <c r="E126" s="63" t="s">
        <v>2659</v>
      </c>
      <c r="F126" s="63" t="s">
        <v>2630</v>
      </c>
      <c r="G126" s="63" t="s">
        <v>2660</v>
      </c>
      <c r="H126" s="63" t="s">
        <v>18</v>
      </c>
      <c r="I126" s="63" t="s">
        <v>704</v>
      </c>
    </row>
    <row r="127" ht="11.25" customHeight="1">
      <c r="A127" s="63" t="s">
        <v>2167</v>
      </c>
      <c r="B127" s="63" t="s">
        <v>14</v>
      </c>
      <c r="C127" s="63" t="s">
        <v>2661</v>
      </c>
      <c r="D127" s="63" t="s">
        <v>2662</v>
      </c>
      <c r="E127" s="63" t="s">
        <v>2663</v>
      </c>
      <c r="F127" s="63" t="s">
        <v>2577</v>
      </c>
      <c r="G127" s="63" t="s">
        <v>2664</v>
      </c>
      <c r="H127" s="63" t="s">
        <v>18</v>
      </c>
      <c r="I127" s="63" t="s">
        <v>704</v>
      </c>
    </row>
    <row r="128" ht="11.25" customHeight="1">
      <c r="A128" s="63" t="s">
        <v>2167</v>
      </c>
      <c r="B128" s="63" t="s">
        <v>14</v>
      </c>
      <c r="C128" s="63" t="s">
        <v>2665</v>
      </c>
      <c r="D128" s="63" t="s">
        <v>2666</v>
      </c>
      <c r="E128" s="63" t="s">
        <v>2667</v>
      </c>
      <c r="F128" s="63" t="s">
        <v>2538</v>
      </c>
      <c r="G128" s="63" t="s">
        <v>18</v>
      </c>
      <c r="H128" s="63" t="s">
        <v>2668</v>
      </c>
      <c r="I128" s="63" t="s">
        <v>704</v>
      </c>
    </row>
    <row r="129" ht="11.25" customHeight="1">
      <c r="A129" s="63" t="s">
        <v>2167</v>
      </c>
      <c r="B129" s="63" t="s">
        <v>14</v>
      </c>
      <c r="C129" s="63" t="s">
        <v>2669</v>
      </c>
      <c r="D129" s="63" t="s">
        <v>2670</v>
      </c>
      <c r="E129" s="63" t="s">
        <v>2671</v>
      </c>
      <c r="F129" s="63" t="s">
        <v>2311</v>
      </c>
      <c r="G129" s="63" t="s">
        <v>18</v>
      </c>
      <c r="H129" s="63" t="s">
        <v>18</v>
      </c>
      <c r="I129" s="63" t="s">
        <v>704</v>
      </c>
    </row>
    <row r="130" ht="11.25" customHeight="1">
      <c r="A130" s="63" t="s">
        <v>2167</v>
      </c>
      <c r="B130" s="63" t="s">
        <v>14</v>
      </c>
      <c r="C130" s="63" t="s">
        <v>2672</v>
      </c>
      <c r="D130" s="63" t="s">
        <v>2673</v>
      </c>
      <c r="E130" s="63" t="s">
        <v>2674</v>
      </c>
      <c r="F130" s="63" t="s">
        <v>2502</v>
      </c>
      <c r="G130" s="63" t="s">
        <v>18</v>
      </c>
      <c r="H130" s="63" t="s">
        <v>18</v>
      </c>
      <c r="I130" s="63" t="s">
        <v>704</v>
      </c>
    </row>
    <row r="131" ht="11.25" customHeight="1">
      <c r="A131" s="63" t="s">
        <v>2167</v>
      </c>
      <c r="B131" s="63" t="s">
        <v>14</v>
      </c>
      <c r="C131" s="63" t="s">
        <v>2675</v>
      </c>
      <c r="D131" s="63" t="s">
        <v>2676</v>
      </c>
      <c r="E131" s="63" t="s">
        <v>2677</v>
      </c>
      <c r="F131" s="63" t="s">
        <v>2218</v>
      </c>
      <c r="G131" s="63" t="s">
        <v>2678</v>
      </c>
      <c r="H131" s="63" t="s">
        <v>18</v>
      </c>
      <c r="I131" s="63" t="s">
        <v>704</v>
      </c>
    </row>
    <row r="132" ht="11.25" customHeight="1">
      <c r="A132" s="63" t="s">
        <v>2167</v>
      </c>
      <c r="B132" s="63" t="s">
        <v>14</v>
      </c>
      <c r="C132" s="63" t="s">
        <v>2679</v>
      </c>
      <c r="D132" s="63" t="s">
        <v>2680</v>
      </c>
      <c r="E132" s="63" t="s">
        <v>2681</v>
      </c>
      <c r="F132" s="63" t="s">
        <v>2550</v>
      </c>
      <c r="G132" s="63" t="s">
        <v>2682</v>
      </c>
      <c r="H132" s="63" t="s">
        <v>18</v>
      </c>
      <c r="I132" s="63" t="s">
        <v>704</v>
      </c>
    </row>
    <row r="133" ht="11.25" customHeight="1">
      <c r="A133" s="63" t="s">
        <v>2167</v>
      </c>
      <c r="B133" s="63" t="s">
        <v>14</v>
      </c>
      <c r="C133" s="63" t="s">
        <v>2683</v>
      </c>
      <c r="D133" s="63" t="s">
        <v>2684</v>
      </c>
      <c r="E133" s="63" t="s">
        <v>2685</v>
      </c>
      <c r="F133" s="63" t="s">
        <v>2291</v>
      </c>
      <c r="G133" s="63" t="s">
        <v>2686</v>
      </c>
      <c r="H133" s="63" t="s">
        <v>18</v>
      </c>
      <c r="I133" s="63" t="s">
        <v>704</v>
      </c>
    </row>
    <row r="134" ht="11.25" customHeight="1">
      <c r="A134" s="63" t="s">
        <v>2167</v>
      </c>
      <c r="B134" s="63" t="s">
        <v>14</v>
      </c>
      <c r="C134" s="63" t="s">
        <v>2687</v>
      </c>
      <c r="D134" s="63" t="s">
        <v>2688</v>
      </c>
      <c r="E134" s="63" t="s">
        <v>2689</v>
      </c>
      <c r="F134" s="63" t="s">
        <v>2690</v>
      </c>
      <c r="G134" s="63" t="s">
        <v>2691</v>
      </c>
      <c r="H134" s="63" t="s">
        <v>18</v>
      </c>
      <c r="I134" s="63" t="s">
        <v>704</v>
      </c>
    </row>
    <row r="135" ht="11.25" customHeight="1">
      <c r="A135" s="63" t="s">
        <v>2167</v>
      </c>
      <c r="B135" s="63" t="s">
        <v>14</v>
      </c>
      <c r="C135" s="63" t="s">
        <v>2692</v>
      </c>
      <c r="D135" s="63" t="s">
        <v>2693</v>
      </c>
      <c r="E135" s="63" t="s">
        <v>2694</v>
      </c>
      <c r="F135" s="63" t="s">
        <v>2180</v>
      </c>
      <c r="G135" s="63" t="s">
        <v>18</v>
      </c>
      <c r="H135" s="63" t="s">
        <v>18</v>
      </c>
      <c r="I135" s="63" t="s">
        <v>704</v>
      </c>
    </row>
    <row r="136" ht="11.25" customHeight="1">
      <c r="A136" s="63" t="s">
        <v>2167</v>
      </c>
      <c r="B136" s="63" t="s">
        <v>14</v>
      </c>
      <c r="C136" s="63" t="s">
        <v>2695</v>
      </c>
      <c r="D136" s="63" t="s">
        <v>2696</v>
      </c>
      <c r="E136" s="63" t="s">
        <v>2345</v>
      </c>
      <c r="F136" s="63" t="s">
        <v>2697</v>
      </c>
      <c r="G136" s="63" t="s">
        <v>2349</v>
      </c>
      <c r="H136" s="63" t="s">
        <v>18</v>
      </c>
      <c r="I136" s="63" t="s">
        <v>704</v>
      </c>
    </row>
    <row r="137" ht="11.25" customHeight="1">
      <c r="A137" s="63" t="s">
        <v>2167</v>
      </c>
      <c r="B137" s="63" t="s">
        <v>14</v>
      </c>
      <c r="C137" s="63" t="s">
        <v>2698</v>
      </c>
      <c r="D137" s="63" t="s">
        <v>2699</v>
      </c>
      <c r="E137" s="63" t="s">
        <v>2700</v>
      </c>
      <c r="F137" s="63" t="s">
        <v>2701</v>
      </c>
      <c r="G137" s="63" t="s">
        <v>18</v>
      </c>
      <c r="H137" s="63" t="s">
        <v>18</v>
      </c>
      <c r="I137" s="63" t="s">
        <v>704</v>
      </c>
    </row>
    <row r="138" ht="11.25" customHeight="1">
      <c r="A138" s="63" t="s">
        <v>2167</v>
      </c>
      <c r="B138" s="63" t="s">
        <v>14</v>
      </c>
      <c r="C138" s="63" t="s">
        <v>2702</v>
      </c>
      <c r="D138" s="63" t="s">
        <v>2703</v>
      </c>
      <c r="E138" s="63" t="s">
        <v>2704</v>
      </c>
      <c r="F138" s="63" t="s">
        <v>2283</v>
      </c>
      <c r="G138" s="63" t="s">
        <v>2705</v>
      </c>
      <c r="H138" s="63" t="s">
        <v>18</v>
      </c>
      <c r="I138" s="63" t="s">
        <v>704</v>
      </c>
    </row>
    <row r="139" ht="11.25" customHeight="1">
      <c r="A139" s="63" t="s">
        <v>2167</v>
      </c>
      <c r="B139" s="63" t="s">
        <v>14</v>
      </c>
      <c r="C139" s="63" t="s">
        <v>2706</v>
      </c>
      <c r="D139" s="63" t="s">
        <v>2707</v>
      </c>
      <c r="E139" s="63" t="s">
        <v>2708</v>
      </c>
      <c r="F139" s="63" t="s">
        <v>2307</v>
      </c>
      <c r="G139" s="63" t="s">
        <v>18</v>
      </c>
      <c r="H139" s="63" t="s">
        <v>18</v>
      </c>
      <c r="I139" s="63" t="s">
        <v>704</v>
      </c>
    </row>
    <row r="140" ht="11.25" customHeight="1">
      <c r="A140" s="63" t="s">
        <v>2167</v>
      </c>
      <c r="B140" s="63" t="s">
        <v>14</v>
      </c>
      <c r="C140" s="63" t="s">
        <v>2709</v>
      </c>
      <c r="D140" s="63" t="s">
        <v>2710</v>
      </c>
      <c r="E140" s="63" t="s">
        <v>2711</v>
      </c>
      <c r="F140" s="63" t="s">
        <v>2256</v>
      </c>
      <c r="G140" s="63" t="s">
        <v>18</v>
      </c>
      <c r="H140" s="63" t="s">
        <v>18</v>
      </c>
      <c r="I140" s="63" t="s">
        <v>704</v>
      </c>
    </row>
    <row r="141" ht="11.25" customHeight="1">
      <c r="A141" s="63" t="s">
        <v>2167</v>
      </c>
      <c r="B141" s="63" t="s">
        <v>14</v>
      </c>
      <c r="C141" s="63" t="s">
        <v>2712</v>
      </c>
      <c r="D141" s="63" t="s">
        <v>2713</v>
      </c>
      <c r="E141" s="63" t="s">
        <v>2714</v>
      </c>
      <c r="F141" s="63" t="s">
        <v>2256</v>
      </c>
      <c r="G141" s="63" t="s">
        <v>2715</v>
      </c>
      <c r="H141" s="63" t="s">
        <v>18</v>
      </c>
      <c r="I141" s="63" t="s">
        <v>704</v>
      </c>
    </row>
    <row r="142" ht="11.25" customHeight="1">
      <c r="A142" s="63" t="s">
        <v>2167</v>
      </c>
      <c r="B142" s="63" t="s">
        <v>14</v>
      </c>
      <c r="C142" s="63" t="s">
        <v>2716</v>
      </c>
      <c r="D142" s="63" t="s">
        <v>2717</v>
      </c>
      <c r="E142" s="63" t="s">
        <v>2718</v>
      </c>
      <c r="F142" s="63" t="s">
        <v>2469</v>
      </c>
      <c r="G142" s="63" t="s">
        <v>2719</v>
      </c>
      <c r="H142" s="63" t="s">
        <v>18</v>
      </c>
      <c r="I142" s="63" t="s">
        <v>704</v>
      </c>
    </row>
    <row r="143" ht="11.25" customHeight="1">
      <c r="A143" s="63" t="s">
        <v>2167</v>
      </c>
      <c r="B143" s="63" t="s">
        <v>14</v>
      </c>
      <c r="C143" s="63" t="s">
        <v>2720</v>
      </c>
      <c r="D143" s="63" t="s">
        <v>2721</v>
      </c>
      <c r="E143" s="63" t="s">
        <v>2722</v>
      </c>
      <c r="F143" s="63" t="s">
        <v>2218</v>
      </c>
      <c r="G143" s="63" t="s">
        <v>18</v>
      </c>
      <c r="H143" s="63" t="s">
        <v>18</v>
      </c>
      <c r="I143" s="63" t="s">
        <v>704</v>
      </c>
    </row>
    <row r="144" ht="11.25" customHeight="1">
      <c r="A144" s="63" t="s">
        <v>2167</v>
      </c>
      <c r="B144" s="63" t="s">
        <v>14</v>
      </c>
      <c r="C144" s="63" t="s">
        <v>2723</v>
      </c>
      <c r="D144" s="63" t="s">
        <v>2724</v>
      </c>
      <c r="E144" s="63" t="s">
        <v>2725</v>
      </c>
      <c r="F144" s="63" t="s">
        <v>2611</v>
      </c>
      <c r="G144" s="63" t="s">
        <v>18</v>
      </c>
      <c r="H144" s="63" t="s">
        <v>18</v>
      </c>
      <c r="I144" s="63" t="s">
        <v>704</v>
      </c>
    </row>
    <row r="145" ht="11.25" customHeight="1">
      <c r="A145" s="63" t="s">
        <v>2167</v>
      </c>
      <c r="B145" s="63" t="s">
        <v>14</v>
      </c>
      <c r="C145" s="63" t="s">
        <v>2726</v>
      </c>
      <c r="D145" s="63" t="s">
        <v>2727</v>
      </c>
      <c r="E145" s="63" t="s">
        <v>2728</v>
      </c>
      <c r="F145" s="63" t="s">
        <v>2222</v>
      </c>
      <c r="G145" s="63" t="s">
        <v>18</v>
      </c>
      <c r="H145" s="63" t="s">
        <v>18</v>
      </c>
      <c r="I145" s="63" t="s">
        <v>704</v>
      </c>
    </row>
    <row r="146" ht="11.25" customHeight="1">
      <c r="A146" s="63" t="s">
        <v>2167</v>
      </c>
      <c r="B146" s="63" t="s">
        <v>14</v>
      </c>
      <c r="C146" s="63" t="s">
        <v>2729</v>
      </c>
      <c r="D146" s="63" t="s">
        <v>2730</v>
      </c>
      <c r="E146" s="63" t="s">
        <v>2731</v>
      </c>
      <c r="F146" s="63" t="s">
        <v>2413</v>
      </c>
      <c r="G146" s="63" t="s">
        <v>18</v>
      </c>
      <c r="H146" s="63" t="s">
        <v>18</v>
      </c>
      <c r="I146" s="63" t="s">
        <v>704</v>
      </c>
    </row>
    <row r="147" ht="11.25" customHeight="1">
      <c r="A147" s="63" t="s">
        <v>2167</v>
      </c>
      <c r="B147" s="63" t="s">
        <v>14</v>
      </c>
      <c r="C147" s="63" t="s">
        <v>2732</v>
      </c>
      <c r="D147" s="63" t="s">
        <v>2733</v>
      </c>
      <c r="E147" s="63" t="s">
        <v>2734</v>
      </c>
      <c r="F147" s="63" t="s">
        <v>2256</v>
      </c>
      <c r="G147" s="63" t="s">
        <v>18</v>
      </c>
      <c r="H147" s="63" t="s">
        <v>18</v>
      </c>
      <c r="I147" s="63" t="s">
        <v>704</v>
      </c>
    </row>
    <row r="148" ht="11.25" customHeight="1">
      <c r="A148" s="63" t="s">
        <v>2167</v>
      </c>
      <c r="B148" s="63" t="s">
        <v>14</v>
      </c>
      <c r="C148" s="63" t="s">
        <v>2735</v>
      </c>
      <c r="D148" s="63" t="s">
        <v>2736</v>
      </c>
      <c r="E148" s="63" t="s">
        <v>2737</v>
      </c>
      <c r="F148" s="63" t="s">
        <v>2210</v>
      </c>
      <c r="G148" s="63" t="s">
        <v>2738</v>
      </c>
      <c r="H148" s="63" t="s">
        <v>18</v>
      </c>
      <c r="I148" s="63" t="s">
        <v>704</v>
      </c>
    </row>
    <row r="149" ht="11.25" customHeight="1">
      <c r="A149" s="63" t="s">
        <v>2167</v>
      </c>
      <c r="B149" s="63" t="s">
        <v>14</v>
      </c>
      <c r="C149" s="63" t="s">
        <v>2739</v>
      </c>
      <c r="D149" s="63" t="s">
        <v>2740</v>
      </c>
      <c r="E149" s="63" t="s">
        <v>2741</v>
      </c>
      <c r="F149" s="63" t="s">
        <v>2506</v>
      </c>
      <c r="G149" s="63" t="s">
        <v>18</v>
      </c>
      <c r="H149" s="63" t="s">
        <v>18</v>
      </c>
      <c r="I149" s="63" t="s">
        <v>704</v>
      </c>
    </row>
    <row r="150" ht="11.25" customHeight="1">
      <c r="A150" s="63" t="s">
        <v>2167</v>
      </c>
      <c r="B150" s="63" t="s">
        <v>14</v>
      </c>
      <c r="C150" s="63" t="s">
        <v>2742</v>
      </c>
      <c r="D150" s="63" t="s">
        <v>2743</v>
      </c>
      <c r="E150" s="63" t="s">
        <v>2744</v>
      </c>
      <c r="F150" s="63" t="s">
        <v>2214</v>
      </c>
      <c r="G150" s="63" t="s">
        <v>18</v>
      </c>
      <c r="H150" s="63" t="s">
        <v>18</v>
      </c>
      <c r="I150" s="63" t="s">
        <v>704</v>
      </c>
    </row>
    <row r="151" ht="11.25" customHeight="1">
      <c r="A151" s="63" t="s">
        <v>2167</v>
      </c>
      <c r="B151" s="63" t="s">
        <v>14</v>
      </c>
      <c r="C151" s="63" t="s">
        <v>2745</v>
      </c>
      <c r="D151" s="63" t="s">
        <v>2746</v>
      </c>
      <c r="E151" s="63" t="s">
        <v>2747</v>
      </c>
      <c r="F151" s="63" t="s">
        <v>2550</v>
      </c>
      <c r="G151" s="63" t="s">
        <v>2748</v>
      </c>
      <c r="H151" s="63" t="s">
        <v>18</v>
      </c>
      <c r="I151" s="63" t="s">
        <v>704</v>
      </c>
    </row>
    <row r="152" ht="11.25" customHeight="1">
      <c r="A152" s="63" t="s">
        <v>2167</v>
      </c>
      <c r="B152" s="63" t="s">
        <v>14</v>
      </c>
      <c r="C152" s="63" t="s">
        <v>2749</v>
      </c>
      <c r="D152" s="63" t="s">
        <v>2750</v>
      </c>
      <c r="E152" s="63" t="s">
        <v>2751</v>
      </c>
      <c r="F152" s="63" t="s">
        <v>2474</v>
      </c>
      <c r="G152" s="63" t="s">
        <v>2752</v>
      </c>
      <c r="H152" s="63" t="s">
        <v>18</v>
      </c>
      <c r="I152" s="63" t="s">
        <v>704</v>
      </c>
    </row>
    <row r="153" ht="11.25" customHeight="1">
      <c r="A153" s="63" t="s">
        <v>2167</v>
      </c>
      <c r="B153" s="63" t="s">
        <v>14</v>
      </c>
      <c r="C153" s="63" t="s">
        <v>2753</v>
      </c>
      <c r="D153" s="63" t="s">
        <v>2754</v>
      </c>
      <c r="E153" s="63" t="s">
        <v>2755</v>
      </c>
      <c r="F153" s="63" t="s">
        <v>48</v>
      </c>
      <c r="G153" s="63" t="s">
        <v>18</v>
      </c>
      <c r="H153" s="63" t="s">
        <v>18</v>
      </c>
      <c r="I153" s="63" t="s">
        <v>704</v>
      </c>
    </row>
    <row r="154" ht="11.25" customHeight="1">
      <c r="A154" s="63" t="s">
        <v>2167</v>
      </c>
      <c r="B154" s="63" t="s">
        <v>14</v>
      </c>
      <c r="C154" s="63" t="s">
        <v>2756</v>
      </c>
      <c r="D154" s="63" t="s">
        <v>2757</v>
      </c>
      <c r="E154" s="63" t="s">
        <v>2758</v>
      </c>
      <c r="F154" s="63" t="s">
        <v>2759</v>
      </c>
      <c r="G154" s="63" t="s">
        <v>2760</v>
      </c>
      <c r="H154" s="63" t="s">
        <v>18</v>
      </c>
      <c r="I154" s="63" t="s">
        <v>704</v>
      </c>
    </row>
    <row r="155" ht="11.25" customHeight="1">
      <c r="A155" s="63" t="s">
        <v>2167</v>
      </c>
      <c r="B155" s="63" t="s">
        <v>14</v>
      </c>
      <c r="C155" s="63" t="s">
        <v>2761</v>
      </c>
      <c r="D155" s="63" t="s">
        <v>2762</v>
      </c>
      <c r="E155" s="63" t="s">
        <v>2763</v>
      </c>
      <c r="F155" s="63" t="s">
        <v>2291</v>
      </c>
      <c r="G155" s="63" t="s">
        <v>18</v>
      </c>
      <c r="H155" s="63" t="s">
        <v>18</v>
      </c>
      <c r="I155" s="63" t="s">
        <v>704</v>
      </c>
    </row>
    <row r="156" ht="11.25" customHeight="1">
      <c r="A156" s="63" t="s">
        <v>2167</v>
      </c>
      <c r="B156" s="63" t="s">
        <v>14</v>
      </c>
      <c r="C156" s="63" t="s">
        <v>2764</v>
      </c>
      <c r="D156" s="63" t="s">
        <v>2765</v>
      </c>
      <c r="E156" s="63" t="s">
        <v>2766</v>
      </c>
      <c r="F156" s="63" t="s">
        <v>2222</v>
      </c>
      <c r="G156" s="63" t="s">
        <v>2767</v>
      </c>
      <c r="H156" s="63" t="s">
        <v>18</v>
      </c>
      <c r="I156" s="63" t="s">
        <v>704</v>
      </c>
    </row>
    <row r="157" ht="11.25" customHeight="1">
      <c r="A157" s="63" t="s">
        <v>2167</v>
      </c>
      <c r="B157" s="63" t="s">
        <v>14</v>
      </c>
      <c r="C157" s="63" t="s">
        <v>2768</v>
      </c>
      <c r="D157" s="63" t="s">
        <v>2769</v>
      </c>
      <c r="E157" s="63" t="s">
        <v>2770</v>
      </c>
      <c r="F157" s="63" t="s">
        <v>2483</v>
      </c>
      <c r="G157" s="63" t="s">
        <v>2771</v>
      </c>
      <c r="H157" s="63" t="s">
        <v>18</v>
      </c>
      <c r="I157" s="63" t="s">
        <v>704</v>
      </c>
    </row>
    <row r="158" ht="11.25" customHeight="1">
      <c r="A158" s="63" t="s">
        <v>2167</v>
      </c>
      <c r="B158" s="63" t="s">
        <v>14</v>
      </c>
      <c r="C158" s="63" t="s">
        <v>2772</v>
      </c>
      <c r="D158" s="63" t="s">
        <v>2773</v>
      </c>
      <c r="E158" s="63" t="s">
        <v>2774</v>
      </c>
      <c r="F158" s="63" t="s">
        <v>2307</v>
      </c>
      <c r="G158" s="63" t="s">
        <v>2775</v>
      </c>
      <c r="H158" s="63" t="s">
        <v>18</v>
      </c>
      <c r="I158" s="63" t="s">
        <v>704</v>
      </c>
    </row>
    <row r="159" ht="11.25" customHeight="1">
      <c r="A159" s="63" t="s">
        <v>2167</v>
      </c>
      <c r="B159" s="63" t="s">
        <v>14</v>
      </c>
      <c r="C159" s="63" t="s">
        <v>2776</v>
      </c>
      <c r="D159" s="63" t="s">
        <v>2777</v>
      </c>
      <c r="E159" s="63" t="s">
        <v>2778</v>
      </c>
      <c r="F159" s="63" t="s">
        <v>2256</v>
      </c>
      <c r="G159" s="63" t="s">
        <v>18</v>
      </c>
      <c r="H159" s="63" t="s">
        <v>18</v>
      </c>
      <c r="I159" s="63" t="s">
        <v>704</v>
      </c>
    </row>
    <row r="160" ht="11.25" customHeight="1">
      <c r="A160" s="63" t="s">
        <v>2167</v>
      </c>
      <c r="B160" s="63" t="s">
        <v>14</v>
      </c>
      <c r="C160" s="63" t="s">
        <v>2779</v>
      </c>
      <c r="D160" s="63" t="s">
        <v>2780</v>
      </c>
      <c r="E160" s="63" t="s">
        <v>2781</v>
      </c>
      <c r="F160" s="63" t="s">
        <v>2557</v>
      </c>
      <c r="G160" s="63" t="s">
        <v>2782</v>
      </c>
      <c r="H160" s="63" t="s">
        <v>18</v>
      </c>
      <c r="I160" s="63" t="s">
        <v>704</v>
      </c>
    </row>
    <row r="161" ht="11.25" customHeight="1">
      <c r="A161" s="63" t="s">
        <v>2167</v>
      </c>
      <c r="B161" s="63" t="s">
        <v>14</v>
      </c>
      <c r="C161" s="63" t="s">
        <v>2783</v>
      </c>
      <c r="D161" s="63" t="s">
        <v>2784</v>
      </c>
      <c r="E161" s="63" t="s">
        <v>2785</v>
      </c>
      <c r="F161" s="63" t="s">
        <v>2171</v>
      </c>
      <c r="G161" s="63" t="s">
        <v>2786</v>
      </c>
      <c r="H161" s="63" t="s">
        <v>18</v>
      </c>
      <c r="I161" s="63" t="s">
        <v>704</v>
      </c>
    </row>
    <row r="162" ht="11.25" customHeight="1">
      <c r="A162" s="63" t="s">
        <v>2167</v>
      </c>
      <c r="B162" s="63" t="s">
        <v>14</v>
      </c>
      <c r="C162" s="63" t="s">
        <v>2787</v>
      </c>
      <c r="D162" s="63" t="s">
        <v>2788</v>
      </c>
      <c r="E162" s="63" t="s">
        <v>2789</v>
      </c>
      <c r="F162" s="63" t="s">
        <v>2370</v>
      </c>
      <c r="G162" s="63" t="s">
        <v>18</v>
      </c>
      <c r="H162" s="63" t="s">
        <v>18</v>
      </c>
      <c r="I162" s="63" t="s">
        <v>704</v>
      </c>
    </row>
    <row r="163" ht="11.25" customHeight="1">
      <c r="A163" s="63" t="s">
        <v>2167</v>
      </c>
      <c r="B163" s="63" t="s">
        <v>14</v>
      </c>
      <c r="C163" s="63" t="s">
        <v>2790</v>
      </c>
      <c r="D163" s="63" t="s">
        <v>2791</v>
      </c>
      <c r="E163" s="63" t="s">
        <v>2792</v>
      </c>
      <c r="F163" s="63" t="s">
        <v>2176</v>
      </c>
      <c r="G163" s="63" t="s">
        <v>18</v>
      </c>
      <c r="H163" s="63" t="s">
        <v>18</v>
      </c>
      <c r="I163" s="63" t="s">
        <v>704</v>
      </c>
    </row>
    <row r="164" ht="11.25" customHeight="1">
      <c r="A164" s="63" t="s">
        <v>2167</v>
      </c>
      <c r="B164" s="63" t="s">
        <v>14</v>
      </c>
      <c r="C164" s="63" t="s">
        <v>2793</v>
      </c>
      <c r="D164" s="63" t="s">
        <v>2794</v>
      </c>
      <c r="E164" s="63" t="s">
        <v>2795</v>
      </c>
      <c r="F164" s="63" t="s">
        <v>2210</v>
      </c>
      <c r="G164" s="63" t="s">
        <v>2771</v>
      </c>
      <c r="H164" s="63" t="s">
        <v>18</v>
      </c>
      <c r="I164" s="63" t="s">
        <v>704</v>
      </c>
    </row>
    <row r="165" ht="11.25" customHeight="1">
      <c r="A165" s="63" t="s">
        <v>2167</v>
      </c>
      <c r="B165" s="63" t="s">
        <v>14</v>
      </c>
      <c r="C165" s="63" t="s">
        <v>2796</v>
      </c>
      <c r="D165" s="63" t="s">
        <v>2797</v>
      </c>
      <c r="E165" s="63" t="s">
        <v>2798</v>
      </c>
      <c r="F165" s="63" t="s">
        <v>2626</v>
      </c>
      <c r="G165" s="63" t="s">
        <v>18</v>
      </c>
      <c r="H165" s="63" t="s">
        <v>18</v>
      </c>
      <c r="I165" s="63" t="s">
        <v>704</v>
      </c>
    </row>
    <row r="166" ht="11.25" customHeight="1">
      <c r="A166" s="63" t="s">
        <v>2167</v>
      </c>
      <c r="B166" s="63" t="s">
        <v>14</v>
      </c>
      <c r="C166" s="63" t="s">
        <v>2799</v>
      </c>
      <c r="D166" s="63" t="s">
        <v>2800</v>
      </c>
      <c r="E166" s="63" t="s">
        <v>2801</v>
      </c>
      <c r="F166" s="63" t="s">
        <v>2311</v>
      </c>
      <c r="G166" s="63" t="s">
        <v>2802</v>
      </c>
      <c r="H166" s="63" t="s">
        <v>18</v>
      </c>
      <c r="I166" s="63" t="s">
        <v>704</v>
      </c>
    </row>
    <row r="167" ht="11.25" customHeight="1">
      <c r="A167" s="63" t="s">
        <v>2167</v>
      </c>
      <c r="B167" s="63" t="s">
        <v>14</v>
      </c>
      <c r="C167" s="63" t="s">
        <v>2803</v>
      </c>
      <c r="D167" s="63" t="s">
        <v>2804</v>
      </c>
      <c r="E167" s="63" t="s">
        <v>2805</v>
      </c>
      <c r="F167" s="63" t="s">
        <v>2210</v>
      </c>
      <c r="G167" s="63" t="s">
        <v>2806</v>
      </c>
      <c r="H167" s="63" t="s">
        <v>18</v>
      </c>
      <c r="I167" s="63" t="s">
        <v>704</v>
      </c>
    </row>
    <row r="168" ht="11.25" customHeight="1">
      <c r="A168" s="63" t="s">
        <v>2167</v>
      </c>
      <c r="B168" s="63" t="s">
        <v>14</v>
      </c>
      <c r="C168" s="63" t="s">
        <v>2807</v>
      </c>
      <c r="D168" s="63" t="s">
        <v>2808</v>
      </c>
      <c r="E168" s="63" t="s">
        <v>2453</v>
      </c>
      <c r="F168" s="63" t="s">
        <v>2809</v>
      </c>
      <c r="G168" s="63" t="s">
        <v>18</v>
      </c>
      <c r="H168" s="63" t="s">
        <v>18</v>
      </c>
      <c r="I168" s="63" t="s">
        <v>704</v>
      </c>
    </row>
    <row r="169" ht="11.25" customHeight="1">
      <c r="A169" s="63" t="s">
        <v>2167</v>
      </c>
      <c r="B169" s="63" t="s">
        <v>14</v>
      </c>
      <c r="C169" s="63" t="s">
        <v>2810</v>
      </c>
      <c r="D169" s="63" t="s">
        <v>2811</v>
      </c>
      <c r="E169" s="63" t="s">
        <v>2812</v>
      </c>
      <c r="F169" s="63" t="s">
        <v>2311</v>
      </c>
      <c r="G169" s="63" t="s">
        <v>2813</v>
      </c>
      <c r="H169" s="63" t="s">
        <v>18</v>
      </c>
      <c r="I169" s="63" t="s">
        <v>704</v>
      </c>
    </row>
    <row r="170" ht="11.25" customHeight="1">
      <c r="A170" s="63" t="s">
        <v>2167</v>
      </c>
      <c r="B170" s="63" t="s">
        <v>14</v>
      </c>
      <c r="C170" s="63" t="s">
        <v>2814</v>
      </c>
      <c r="D170" s="63" t="s">
        <v>2815</v>
      </c>
      <c r="E170" s="63" t="s">
        <v>2816</v>
      </c>
      <c r="F170" s="63" t="s">
        <v>2291</v>
      </c>
      <c r="G170" s="63" t="s">
        <v>2817</v>
      </c>
      <c r="H170" s="63" t="s">
        <v>18</v>
      </c>
      <c r="I170" s="63" t="s">
        <v>704</v>
      </c>
    </row>
    <row r="171" ht="11.25" customHeight="1">
      <c r="A171" s="63" t="s">
        <v>2167</v>
      </c>
      <c r="B171" s="63" t="s">
        <v>14</v>
      </c>
      <c r="C171" s="63" t="s">
        <v>2818</v>
      </c>
      <c r="D171" s="63" t="s">
        <v>2819</v>
      </c>
      <c r="E171" s="63" t="s">
        <v>2820</v>
      </c>
      <c r="F171" s="63" t="s">
        <v>2222</v>
      </c>
      <c r="G171" s="63" t="s">
        <v>18</v>
      </c>
      <c r="H171" s="63" t="s">
        <v>18</v>
      </c>
      <c r="I171" s="63" t="s">
        <v>704</v>
      </c>
    </row>
    <row r="172" ht="11.25" customHeight="1">
      <c r="A172" s="63" t="s">
        <v>2167</v>
      </c>
      <c r="B172" s="63" t="s">
        <v>14</v>
      </c>
      <c r="C172" s="63" t="s">
        <v>2821</v>
      </c>
      <c r="D172" s="63" t="s">
        <v>2822</v>
      </c>
      <c r="E172" s="63" t="s">
        <v>2823</v>
      </c>
      <c r="F172" s="63" t="s">
        <v>2249</v>
      </c>
      <c r="G172" s="63" t="s">
        <v>2824</v>
      </c>
      <c r="H172" s="63" t="s">
        <v>18</v>
      </c>
      <c r="I172" s="63" t="s">
        <v>704</v>
      </c>
    </row>
    <row r="173" ht="11.25" customHeight="1">
      <c r="A173" s="63" t="s">
        <v>2167</v>
      </c>
      <c r="B173" s="63" t="s">
        <v>14</v>
      </c>
      <c r="C173" s="63" t="s">
        <v>2825</v>
      </c>
      <c r="D173" s="63" t="s">
        <v>2826</v>
      </c>
      <c r="E173" s="63" t="s">
        <v>2827</v>
      </c>
      <c r="F173" s="63" t="s">
        <v>2171</v>
      </c>
      <c r="G173" s="63" t="s">
        <v>2828</v>
      </c>
      <c r="H173" s="63" t="s">
        <v>18</v>
      </c>
      <c r="I173" s="63" t="s">
        <v>704</v>
      </c>
    </row>
    <row r="174" ht="11.25" customHeight="1">
      <c r="A174" s="63" t="s">
        <v>2167</v>
      </c>
      <c r="B174" s="63" t="s">
        <v>14</v>
      </c>
      <c r="C174" s="63" t="s">
        <v>2829</v>
      </c>
      <c r="D174" s="63" t="s">
        <v>2830</v>
      </c>
      <c r="E174" s="63" t="s">
        <v>2831</v>
      </c>
      <c r="F174" s="63" t="s">
        <v>2249</v>
      </c>
      <c r="G174" s="63" t="s">
        <v>2832</v>
      </c>
      <c r="H174" s="63" t="s">
        <v>18</v>
      </c>
      <c r="I174" s="63" t="s">
        <v>704</v>
      </c>
    </row>
    <row r="175" ht="11.25" customHeight="1">
      <c r="A175" s="63" t="s">
        <v>2167</v>
      </c>
      <c r="B175" s="63" t="s">
        <v>14</v>
      </c>
      <c r="C175" s="63" t="s">
        <v>2833</v>
      </c>
      <c r="D175" s="63" t="s">
        <v>2834</v>
      </c>
      <c r="E175" s="63" t="s">
        <v>2835</v>
      </c>
      <c r="F175" s="63" t="s">
        <v>2598</v>
      </c>
      <c r="G175" s="63" t="s">
        <v>18</v>
      </c>
      <c r="H175" s="63" t="s">
        <v>18</v>
      </c>
      <c r="I175" s="63" t="s">
        <v>704</v>
      </c>
    </row>
    <row r="176" ht="11.25" customHeight="1">
      <c r="A176" s="63" t="s">
        <v>2167</v>
      </c>
      <c r="B176" s="63" t="s">
        <v>14</v>
      </c>
      <c r="C176" s="63" t="s">
        <v>2836</v>
      </c>
      <c r="D176" s="63" t="s">
        <v>2837</v>
      </c>
      <c r="E176" s="63" t="s">
        <v>2838</v>
      </c>
      <c r="F176" s="63" t="s">
        <v>2171</v>
      </c>
      <c r="G176" s="63" t="s">
        <v>2839</v>
      </c>
      <c r="H176" s="63" t="s">
        <v>18</v>
      </c>
      <c r="I176" s="63" t="s">
        <v>704</v>
      </c>
    </row>
    <row r="177" ht="11.25" customHeight="1">
      <c r="A177" s="63" t="s">
        <v>2167</v>
      </c>
      <c r="B177" s="63" t="s">
        <v>14</v>
      </c>
      <c r="C177" s="63" t="s">
        <v>2840</v>
      </c>
      <c r="D177" s="63" t="s">
        <v>2841</v>
      </c>
      <c r="E177" s="63" t="s">
        <v>2842</v>
      </c>
      <c r="F177" s="63" t="s">
        <v>2222</v>
      </c>
      <c r="G177" s="63" t="s">
        <v>18</v>
      </c>
      <c r="H177" s="63" t="s">
        <v>18</v>
      </c>
      <c r="I177" s="63" t="s">
        <v>704</v>
      </c>
    </row>
    <row r="178" ht="11.25" customHeight="1">
      <c r="A178" s="63" t="s">
        <v>2167</v>
      </c>
      <c r="B178" s="63" t="s">
        <v>14</v>
      </c>
      <c r="C178" s="63" t="s">
        <v>2843</v>
      </c>
      <c r="D178" s="63" t="s">
        <v>2844</v>
      </c>
      <c r="E178" s="63" t="s">
        <v>2845</v>
      </c>
      <c r="F178" s="63" t="s">
        <v>2222</v>
      </c>
      <c r="G178" s="63" t="s">
        <v>2846</v>
      </c>
      <c r="H178" s="63" t="s">
        <v>18</v>
      </c>
      <c r="I178" s="63" t="s">
        <v>704</v>
      </c>
    </row>
    <row r="179" ht="11.25" customHeight="1">
      <c r="A179" s="63" t="s">
        <v>2167</v>
      </c>
      <c r="B179" s="63" t="s">
        <v>14</v>
      </c>
      <c r="C179" s="63" t="s">
        <v>2847</v>
      </c>
      <c r="D179" s="63" t="s">
        <v>2848</v>
      </c>
      <c r="E179" s="63" t="s">
        <v>2849</v>
      </c>
      <c r="F179" s="63" t="s">
        <v>2218</v>
      </c>
      <c r="G179" s="63" t="s">
        <v>2850</v>
      </c>
      <c r="H179" s="63" t="s">
        <v>18</v>
      </c>
      <c r="I179" s="63" t="s">
        <v>704</v>
      </c>
    </row>
    <row r="180" ht="11.25" customHeight="1">
      <c r="A180" s="63" t="s">
        <v>2167</v>
      </c>
      <c r="B180" s="63" t="s">
        <v>14</v>
      </c>
      <c r="C180" s="63" t="s">
        <v>2851</v>
      </c>
      <c r="D180" s="63" t="s">
        <v>2852</v>
      </c>
      <c r="E180" s="63" t="s">
        <v>2853</v>
      </c>
      <c r="F180" s="63" t="s">
        <v>2176</v>
      </c>
      <c r="G180" s="63" t="s">
        <v>2854</v>
      </c>
      <c r="H180" s="63" t="s">
        <v>18</v>
      </c>
      <c r="I180" s="63" t="s">
        <v>704</v>
      </c>
    </row>
    <row r="181" ht="11.25" customHeight="1">
      <c r="A181" s="63" t="s">
        <v>2167</v>
      </c>
      <c r="B181" s="63" t="s">
        <v>14</v>
      </c>
      <c r="C181" s="63" t="s">
        <v>2855</v>
      </c>
      <c r="D181" s="63" t="s">
        <v>2856</v>
      </c>
      <c r="E181" s="63" t="s">
        <v>2857</v>
      </c>
      <c r="F181" s="63" t="s">
        <v>2218</v>
      </c>
      <c r="G181" s="63" t="s">
        <v>2573</v>
      </c>
      <c r="H181" s="63" t="s">
        <v>18</v>
      </c>
      <c r="I181" s="63" t="s">
        <v>704</v>
      </c>
    </row>
    <row r="182" ht="11.25" customHeight="1">
      <c r="A182" s="63" t="s">
        <v>2167</v>
      </c>
      <c r="B182" s="63" t="s">
        <v>14</v>
      </c>
      <c r="C182" s="63" t="s">
        <v>2858</v>
      </c>
      <c r="D182" s="63" t="s">
        <v>2859</v>
      </c>
      <c r="E182" s="63" t="s">
        <v>2860</v>
      </c>
      <c r="F182" s="63" t="s">
        <v>2218</v>
      </c>
      <c r="G182" s="63" t="s">
        <v>18</v>
      </c>
      <c r="H182" s="63" t="s">
        <v>18</v>
      </c>
      <c r="I182" s="63" t="s">
        <v>704</v>
      </c>
    </row>
    <row r="183" ht="11.25" customHeight="1">
      <c r="A183" s="63" t="s">
        <v>2167</v>
      </c>
      <c r="B183" s="63" t="s">
        <v>14</v>
      </c>
      <c r="C183" s="63" t="s">
        <v>2861</v>
      </c>
      <c r="D183" s="63" t="s">
        <v>2862</v>
      </c>
      <c r="E183" s="63" t="s">
        <v>2863</v>
      </c>
      <c r="F183" s="63" t="s">
        <v>2176</v>
      </c>
      <c r="G183" s="63" t="s">
        <v>18</v>
      </c>
      <c r="H183" s="63" t="s">
        <v>18</v>
      </c>
      <c r="I183" s="63" t="s">
        <v>704</v>
      </c>
    </row>
    <row r="184" ht="11.25" customHeight="1">
      <c r="A184" s="63" t="s">
        <v>2167</v>
      </c>
      <c r="B184" s="63" t="s">
        <v>14</v>
      </c>
      <c r="C184" s="63" t="s">
        <v>2864</v>
      </c>
      <c r="D184" s="63" t="s">
        <v>2865</v>
      </c>
      <c r="E184" s="63" t="s">
        <v>2866</v>
      </c>
      <c r="F184" s="63" t="s">
        <v>2249</v>
      </c>
      <c r="G184" s="63" t="s">
        <v>2867</v>
      </c>
      <c r="H184" s="63" t="s">
        <v>18</v>
      </c>
      <c r="I184" s="63" t="s">
        <v>704</v>
      </c>
    </row>
    <row r="185" ht="11.25" customHeight="1">
      <c r="A185" s="63" t="s">
        <v>2167</v>
      </c>
      <c r="B185" s="63" t="s">
        <v>14</v>
      </c>
      <c r="C185" s="63" t="s">
        <v>2868</v>
      </c>
      <c r="D185" s="63" t="s">
        <v>2869</v>
      </c>
      <c r="E185" s="63" t="s">
        <v>2870</v>
      </c>
      <c r="F185" s="63" t="s">
        <v>2218</v>
      </c>
      <c r="G185" s="63" t="s">
        <v>2871</v>
      </c>
      <c r="H185" s="63" t="s">
        <v>18</v>
      </c>
      <c r="I185" s="63" t="s">
        <v>704</v>
      </c>
    </row>
    <row r="186" ht="11.25" customHeight="1">
      <c r="A186" s="63" t="s">
        <v>2167</v>
      </c>
      <c r="B186" s="63" t="s">
        <v>14</v>
      </c>
      <c r="C186" s="63" t="s">
        <v>2872</v>
      </c>
      <c r="D186" s="63" t="s">
        <v>2873</v>
      </c>
      <c r="E186" s="63" t="s">
        <v>2874</v>
      </c>
      <c r="F186" s="63" t="s">
        <v>2218</v>
      </c>
      <c r="G186" s="63" t="s">
        <v>2875</v>
      </c>
      <c r="H186" s="63" t="s">
        <v>18</v>
      </c>
      <c r="I186" s="63" t="s">
        <v>704</v>
      </c>
    </row>
    <row r="187" ht="11.25" customHeight="1">
      <c r="A187" s="63" t="s">
        <v>2167</v>
      </c>
      <c r="B187" s="63" t="s">
        <v>14</v>
      </c>
      <c r="C187" s="63" t="s">
        <v>2876</v>
      </c>
      <c r="D187" s="63" t="s">
        <v>2877</v>
      </c>
      <c r="E187" s="63" t="s">
        <v>2878</v>
      </c>
      <c r="F187" s="63" t="s">
        <v>2538</v>
      </c>
      <c r="G187" s="63" t="s">
        <v>18</v>
      </c>
      <c r="H187" s="63" t="s">
        <v>18</v>
      </c>
      <c r="I187" s="63" t="s">
        <v>704</v>
      </c>
    </row>
    <row r="188" ht="11.25" customHeight="1">
      <c r="A188" s="63" t="s">
        <v>2167</v>
      </c>
      <c r="B188" s="63" t="s">
        <v>14</v>
      </c>
      <c r="C188" s="63" t="s">
        <v>2879</v>
      </c>
      <c r="D188" s="63" t="s">
        <v>2880</v>
      </c>
      <c r="E188" s="63" t="s">
        <v>2881</v>
      </c>
      <c r="F188" s="63" t="s">
        <v>2176</v>
      </c>
      <c r="G188" s="63" t="s">
        <v>2882</v>
      </c>
      <c r="H188" s="63" t="s">
        <v>18</v>
      </c>
      <c r="I188" s="63" t="s">
        <v>704</v>
      </c>
    </row>
    <row r="189" ht="11.25" customHeight="1">
      <c r="A189" s="63" t="s">
        <v>2167</v>
      </c>
      <c r="B189" s="63" t="s">
        <v>14</v>
      </c>
      <c r="C189" s="63" t="s">
        <v>2883</v>
      </c>
      <c r="D189" s="63" t="s">
        <v>2884</v>
      </c>
      <c r="E189" s="63" t="s">
        <v>2885</v>
      </c>
      <c r="F189" s="63" t="s">
        <v>2171</v>
      </c>
      <c r="G189" s="63" t="s">
        <v>2886</v>
      </c>
      <c r="H189" s="63" t="s">
        <v>18</v>
      </c>
      <c r="I189" s="63" t="s">
        <v>704</v>
      </c>
    </row>
    <row r="190" ht="11.25" customHeight="1">
      <c r="A190" s="63" t="s">
        <v>2167</v>
      </c>
      <c r="B190" s="63" t="s">
        <v>14</v>
      </c>
      <c r="C190" s="63" t="s">
        <v>2887</v>
      </c>
      <c r="D190" s="63" t="s">
        <v>2888</v>
      </c>
      <c r="E190" s="63" t="s">
        <v>2889</v>
      </c>
      <c r="F190" s="63" t="s">
        <v>2171</v>
      </c>
      <c r="G190" s="63" t="s">
        <v>2890</v>
      </c>
      <c r="H190" s="63" t="s">
        <v>18</v>
      </c>
      <c r="I190" s="63" t="s">
        <v>704</v>
      </c>
    </row>
    <row r="191" ht="11.25" customHeight="1">
      <c r="A191" s="63" t="s">
        <v>2167</v>
      </c>
      <c r="B191" s="63" t="s">
        <v>14</v>
      </c>
      <c r="C191" s="63" t="s">
        <v>2891</v>
      </c>
      <c r="D191" s="63" t="s">
        <v>2892</v>
      </c>
      <c r="E191" s="63" t="s">
        <v>2893</v>
      </c>
      <c r="F191" s="63" t="s">
        <v>2256</v>
      </c>
      <c r="G191" s="63" t="s">
        <v>18</v>
      </c>
      <c r="H191" s="63" t="s">
        <v>2894</v>
      </c>
      <c r="I191" s="63" t="s">
        <v>704</v>
      </c>
    </row>
    <row r="192" ht="11.25" customHeight="1">
      <c r="A192" s="63" t="s">
        <v>2167</v>
      </c>
      <c r="B192" s="63" t="s">
        <v>14</v>
      </c>
      <c r="C192" s="63" t="s">
        <v>2895</v>
      </c>
      <c r="D192" s="63" t="s">
        <v>2896</v>
      </c>
      <c r="E192" s="63" t="s">
        <v>2897</v>
      </c>
      <c r="F192" s="63" t="s">
        <v>2898</v>
      </c>
      <c r="G192" s="63" t="s">
        <v>2899</v>
      </c>
      <c r="H192" s="63" t="s">
        <v>18</v>
      </c>
      <c r="I192" s="63" t="s">
        <v>704</v>
      </c>
    </row>
    <row r="193" ht="11.25" customHeight="1">
      <c r="A193" s="63" t="s">
        <v>2167</v>
      </c>
      <c r="B193" s="63" t="s">
        <v>14</v>
      </c>
      <c r="C193" s="63" t="s">
        <v>2900</v>
      </c>
      <c r="D193" s="63" t="s">
        <v>2901</v>
      </c>
      <c r="E193" s="63" t="s">
        <v>2902</v>
      </c>
      <c r="F193" s="63" t="s">
        <v>2903</v>
      </c>
      <c r="G193" s="63" t="s">
        <v>2904</v>
      </c>
      <c r="H193" s="63" t="s">
        <v>18</v>
      </c>
      <c r="I193" s="63" t="s">
        <v>704</v>
      </c>
    </row>
    <row r="194" ht="11.25" customHeight="1">
      <c r="A194" s="63" t="s">
        <v>2167</v>
      </c>
      <c r="B194" s="63" t="s">
        <v>14</v>
      </c>
      <c r="C194" s="63" t="s">
        <v>2905</v>
      </c>
      <c r="D194" s="63" t="s">
        <v>2906</v>
      </c>
      <c r="E194" s="63" t="s">
        <v>2907</v>
      </c>
      <c r="F194" s="63" t="s">
        <v>2898</v>
      </c>
      <c r="G194" s="63" t="s">
        <v>2908</v>
      </c>
      <c r="H194" s="63" t="s">
        <v>18</v>
      </c>
      <c r="I194" s="63" t="s">
        <v>704</v>
      </c>
    </row>
    <row r="195" ht="11.25" customHeight="1">
      <c r="A195" s="63" t="s">
        <v>2167</v>
      </c>
      <c r="B195" s="63" t="s">
        <v>14</v>
      </c>
      <c r="C195" s="63" t="s">
        <v>2909</v>
      </c>
      <c r="D195" s="63" t="s">
        <v>2910</v>
      </c>
      <c r="E195" s="63" t="s">
        <v>2911</v>
      </c>
      <c r="F195" s="63" t="s">
        <v>2303</v>
      </c>
      <c r="G195" s="63" t="s">
        <v>2912</v>
      </c>
      <c r="H195" s="63" t="s">
        <v>18</v>
      </c>
      <c r="I195" s="63" t="s">
        <v>704</v>
      </c>
    </row>
    <row r="196" ht="11.25" customHeight="1">
      <c r="A196" s="63" t="s">
        <v>2167</v>
      </c>
      <c r="B196" s="63" t="s">
        <v>14</v>
      </c>
      <c r="C196" s="63" t="s">
        <v>2913</v>
      </c>
      <c r="D196" s="63" t="s">
        <v>2914</v>
      </c>
      <c r="E196" s="63" t="s">
        <v>2915</v>
      </c>
      <c r="F196" s="63" t="s">
        <v>2218</v>
      </c>
      <c r="G196" s="63" t="s">
        <v>2916</v>
      </c>
      <c r="H196" s="63" t="s">
        <v>18</v>
      </c>
      <c r="I196" s="63" t="s">
        <v>704</v>
      </c>
    </row>
    <row r="197" ht="11.25" customHeight="1">
      <c r="A197" s="63" t="s">
        <v>2167</v>
      </c>
      <c r="B197" s="63" t="s">
        <v>14</v>
      </c>
      <c r="C197" s="63" t="s">
        <v>2917</v>
      </c>
      <c r="D197" s="63" t="s">
        <v>2918</v>
      </c>
      <c r="E197" s="63" t="s">
        <v>2919</v>
      </c>
      <c r="F197" s="63" t="s">
        <v>2176</v>
      </c>
      <c r="G197" s="63" t="s">
        <v>2920</v>
      </c>
      <c r="H197" s="63" t="s">
        <v>18</v>
      </c>
      <c r="I197" s="63" t="s">
        <v>704</v>
      </c>
    </row>
    <row r="198" ht="11.25" customHeight="1">
      <c r="A198" s="63" t="s">
        <v>2167</v>
      </c>
      <c r="B198" s="63" t="s">
        <v>14</v>
      </c>
      <c r="C198" s="63" t="s">
        <v>2921</v>
      </c>
      <c r="D198" s="63" t="s">
        <v>2922</v>
      </c>
      <c r="E198" s="63" t="s">
        <v>2923</v>
      </c>
      <c r="F198" s="63" t="s">
        <v>2218</v>
      </c>
      <c r="G198" s="63" t="s">
        <v>2315</v>
      </c>
      <c r="H198" s="63" t="s">
        <v>18</v>
      </c>
      <c r="I198" s="63" t="s">
        <v>704</v>
      </c>
    </row>
    <row r="199" ht="11.25" customHeight="1">
      <c r="A199" s="63" t="s">
        <v>2167</v>
      </c>
      <c r="B199" s="63" t="s">
        <v>14</v>
      </c>
      <c r="C199" s="63" t="s">
        <v>2924</v>
      </c>
      <c r="D199" s="63" t="s">
        <v>2925</v>
      </c>
      <c r="E199" s="63" t="s">
        <v>2926</v>
      </c>
      <c r="F199" s="63" t="s">
        <v>2522</v>
      </c>
      <c r="G199" s="63" t="s">
        <v>2927</v>
      </c>
      <c r="H199" s="63" t="s">
        <v>18</v>
      </c>
      <c r="I199" s="63" t="s">
        <v>704</v>
      </c>
    </row>
    <row r="200" ht="11.25" customHeight="1">
      <c r="A200" s="63" t="s">
        <v>2167</v>
      </c>
      <c r="B200" s="63" t="s">
        <v>14</v>
      </c>
      <c r="C200" s="63" t="s">
        <v>2928</v>
      </c>
      <c r="D200" s="63" t="s">
        <v>2929</v>
      </c>
      <c r="E200" s="63" t="s">
        <v>2930</v>
      </c>
      <c r="F200" s="63" t="s">
        <v>2413</v>
      </c>
      <c r="G200" s="63" t="s">
        <v>18</v>
      </c>
      <c r="H200" s="63" t="s">
        <v>18</v>
      </c>
      <c r="I200" s="63" t="s">
        <v>704</v>
      </c>
    </row>
    <row r="201" ht="11.25" customHeight="1">
      <c r="A201" s="63" t="s">
        <v>2167</v>
      </c>
      <c r="B201" s="63" t="s">
        <v>14</v>
      </c>
      <c r="C201" s="63" t="s">
        <v>2931</v>
      </c>
      <c r="D201" s="63" t="s">
        <v>2932</v>
      </c>
      <c r="E201" s="63" t="s">
        <v>2933</v>
      </c>
      <c r="F201" s="63" t="s">
        <v>2249</v>
      </c>
      <c r="G201" s="63" t="s">
        <v>2934</v>
      </c>
      <c r="H201" s="63" t="s">
        <v>18</v>
      </c>
      <c r="I201" s="63" t="s">
        <v>704</v>
      </c>
    </row>
    <row r="202" ht="11.25" customHeight="1">
      <c r="A202" s="63" t="s">
        <v>2167</v>
      </c>
      <c r="B202" s="63" t="s">
        <v>14</v>
      </c>
      <c r="C202" s="63" t="s">
        <v>2935</v>
      </c>
      <c r="D202" s="63" t="s">
        <v>2936</v>
      </c>
      <c r="E202" s="63" t="s">
        <v>2937</v>
      </c>
      <c r="F202" s="63" t="s">
        <v>2218</v>
      </c>
      <c r="G202" s="63" t="s">
        <v>18</v>
      </c>
      <c r="H202" s="63" t="s">
        <v>18</v>
      </c>
      <c r="I202" s="63" t="s">
        <v>704</v>
      </c>
    </row>
    <row r="203" ht="11.25" customHeight="1">
      <c r="A203" s="63" t="s">
        <v>2167</v>
      </c>
      <c r="B203" s="63" t="s">
        <v>14</v>
      </c>
      <c r="C203" s="63" t="s">
        <v>2938</v>
      </c>
      <c r="D203" s="63" t="s">
        <v>2939</v>
      </c>
      <c r="E203" s="63" t="s">
        <v>2940</v>
      </c>
      <c r="F203" s="63" t="s">
        <v>2469</v>
      </c>
      <c r="G203" s="63" t="s">
        <v>18</v>
      </c>
      <c r="H203" s="63" t="s">
        <v>18</v>
      </c>
      <c r="I203" s="63" t="s">
        <v>704</v>
      </c>
    </row>
    <row r="204" ht="11.25" customHeight="1">
      <c r="A204" s="63" t="s">
        <v>2167</v>
      </c>
      <c r="B204" s="63" t="s">
        <v>14</v>
      </c>
      <c r="C204" s="63" t="s">
        <v>2941</v>
      </c>
      <c r="D204" s="63" t="s">
        <v>2942</v>
      </c>
      <c r="E204" s="63" t="s">
        <v>2943</v>
      </c>
      <c r="F204" s="63" t="s">
        <v>2249</v>
      </c>
      <c r="G204" s="63" t="s">
        <v>2944</v>
      </c>
      <c r="H204" s="63" t="s">
        <v>18</v>
      </c>
      <c r="I204" s="63" t="s">
        <v>704</v>
      </c>
    </row>
    <row r="205" ht="11.25" customHeight="1">
      <c r="A205" s="63" t="s">
        <v>2167</v>
      </c>
      <c r="B205" s="63" t="s">
        <v>14</v>
      </c>
      <c r="C205" s="63" t="s">
        <v>2945</v>
      </c>
      <c r="D205" s="63" t="s">
        <v>2946</v>
      </c>
      <c r="E205" s="63" t="s">
        <v>2947</v>
      </c>
      <c r="F205" s="63" t="s">
        <v>2260</v>
      </c>
      <c r="G205" s="63" t="s">
        <v>2948</v>
      </c>
      <c r="H205" s="63" t="s">
        <v>18</v>
      </c>
      <c r="I205" s="63" t="s">
        <v>704</v>
      </c>
    </row>
    <row r="206" ht="11.25" customHeight="1">
      <c r="A206" s="63" t="s">
        <v>2167</v>
      </c>
      <c r="B206" s="63" t="s">
        <v>14</v>
      </c>
      <c r="C206" s="63" t="s">
        <v>2949</v>
      </c>
      <c r="D206" s="63" t="s">
        <v>2950</v>
      </c>
      <c r="E206" s="63" t="s">
        <v>2951</v>
      </c>
      <c r="F206" s="63" t="s">
        <v>2210</v>
      </c>
      <c r="G206" s="63" t="s">
        <v>2952</v>
      </c>
      <c r="H206" s="63" t="s">
        <v>18</v>
      </c>
      <c r="I206" s="63" t="s">
        <v>704</v>
      </c>
    </row>
    <row r="207" ht="11.25" customHeight="1">
      <c r="A207" s="63" t="s">
        <v>2167</v>
      </c>
      <c r="B207" s="63" t="s">
        <v>14</v>
      </c>
      <c r="C207" s="63" t="s">
        <v>2953</v>
      </c>
      <c r="D207" s="63" t="s">
        <v>2954</v>
      </c>
      <c r="E207" s="63" t="s">
        <v>2955</v>
      </c>
      <c r="F207" s="63" t="s">
        <v>2956</v>
      </c>
      <c r="G207" s="63" t="s">
        <v>2957</v>
      </c>
      <c r="H207" s="63" t="s">
        <v>18</v>
      </c>
      <c r="I207" s="63" t="s">
        <v>704</v>
      </c>
    </row>
    <row r="208" ht="11.25" customHeight="1">
      <c r="A208" s="63" t="s">
        <v>2167</v>
      </c>
      <c r="B208" s="63" t="s">
        <v>14</v>
      </c>
      <c r="C208" s="63" t="s">
        <v>2958</v>
      </c>
      <c r="D208" s="63" t="s">
        <v>2959</v>
      </c>
      <c r="E208" s="63" t="s">
        <v>2960</v>
      </c>
      <c r="F208" s="63" t="s">
        <v>2249</v>
      </c>
      <c r="G208" s="63" t="s">
        <v>2961</v>
      </c>
      <c r="H208" s="63" t="s">
        <v>18</v>
      </c>
      <c r="I208" s="63" t="s">
        <v>704</v>
      </c>
    </row>
    <row r="209" ht="11.25" customHeight="1">
      <c r="A209" s="63" t="s">
        <v>2167</v>
      </c>
      <c r="B209" s="63" t="s">
        <v>14</v>
      </c>
      <c r="C209" s="63" t="s">
        <v>2962</v>
      </c>
      <c r="D209" s="63" t="s">
        <v>2963</v>
      </c>
      <c r="E209" s="63" t="s">
        <v>2964</v>
      </c>
      <c r="F209" s="63" t="s">
        <v>2311</v>
      </c>
      <c r="G209" s="63" t="s">
        <v>2965</v>
      </c>
      <c r="H209" s="63" t="s">
        <v>18</v>
      </c>
      <c r="I209" s="63" t="s">
        <v>704</v>
      </c>
    </row>
    <row r="210" ht="11.25" customHeight="1">
      <c r="A210" s="63" t="s">
        <v>2167</v>
      </c>
      <c r="B210" s="63" t="s">
        <v>14</v>
      </c>
      <c r="C210" s="63" t="s">
        <v>2966</v>
      </c>
      <c r="D210" s="63" t="s">
        <v>2967</v>
      </c>
      <c r="E210" s="63" t="s">
        <v>2968</v>
      </c>
      <c r="F210" s="63" t="s">
        <v>2218</v>
      </c>
      <c r="G210" s="63" t="s">
        <v>2969</v>
      </c>
      <c r="H210" s="63" t="s">
        <v>18</v>
      </c>
      <c r="I210" s="63" t="s">
        <v>704</v>
      </c>
    </row>
    <row r="211" ht="11.25" customHeight="1">
      <c r="A211" s="63" t="s">
        <v>2167</v>
      </c>
      <c r="B211" s="63" t="s">
        <v>14</v>
      </c>
      <c r="C211" s="63" t="s">
        <v>2970</v>
      </c>
      <c r="D211" s="63" t="s">
        <v>2971</v>
      </c>
      <c r="E211" s="63" t="s">
        <v>2972</v>
      </c>
      <c r="F211" s="63" t="s">
        <v>2218</v>
      </c>
      <c r="G211" s="63" t="s">
        <v>2973</v>
      </c>
      <c r="H211" s="63" t="s">
        <v>18</v>
      </c>
      <c r="I211" s="63" t="s">
        <v>704</v>
      </c>
    </row>
    <row r="212" ht="11.25" customHeight="1">
      <c r="A212" s="63" t="s">
        <v>2167</v>
      </c>
      <c r="B212" s="63" t="s">
        <v>14</v>
      </c>
      <c r="C212" s="63" t="s">
        <v>2974</v>
      </c>
      <c r="D212" s="63" t="s">
        <v>2975</v>
      </c>
      <c r="E212" s="63" t="s">
        <v>2976</v>
      </c>
      <c r="F212" s="63" t="s">
        <v>2977</v>
      </c>
      <c r="G212" s="63" t="s">
        <v>2978</v>
      </c>
      <c r="H212" s="63" t="s">
        <v>18</v>
      </c>
      <c r="I212" s="63" t="s">
        <v>704</v>
      </c>
    </row>
    <row r="213" ht="11.25" customHeight="1">
      <c r="A213" s="63" t="s">
        <v>2167</v>
      </c>
      <c r="B213" s="63" t="s">
        <v>14</v>
      </c>
      <c r="C213" s="63" t="s">
        <v>2979</v>
      </c>
      <c r="D213" s="63" t="s">
        <v>2980</v>
      </c>
      <c r="E213" s="63" t="s">
        <v>2981</v>
      </c>
      <c r="F213" s="63" t="s">
        <v>2171</v>
      </c>
      <c r="G213" s="63" t="s">
        <v>2982</v>
      </c>
      <c r="H213" s="63" t="s">
        <v>18</v>
      </c>
      <c r="I213" s="63" t="s">
        <v>704</v>
      </c>
    </row>
    <row r="214" ht="11.25" customHeight="1">
      <c r="A214" s="63" t="s">
        <v>2167</v>
      </c>
      <c r="B214" s="63" t="s">
        <v>14</v>
      </c>
      <c r="C214" s="63" t="s">
        <v>2983</v>
      </c>
      <c r="D214" s="63" t="s">
        <v>2984</v>
      </c>
      <c r="E214" s="63" t="s">
        <v>2985</v>
      </c>
      <c r="F214" s="63" t="s">
        <v>2291</v>
      </c>
      <c r="G214" s="63" t="s">
        <v>2986</v>
      </c>
      <c r="H214" s="63" t="s">
        <v>18</v>
      </c>
      <c r="I214" s="63" t="s">
        <v>704</v>
      </c>
    </row>
    <row r="215" ht="11.25" customHeight="1">
      <c r="A215" s="63" t="s">
        <v>2167</v>
      </c>
      <c r="B215" s="63" t="s">
        <v>14</v>
      </c>
      <c r="C215" s="63" t="s">
        <v>2987</v>
      </c>
      <c r="D215" s="63" t="s">
        <v>2988</v>
      </c>
      <c r="E215" s="63" t="s">
        <v>2989</v>
      </c>
      <c r="F215" s="63" t="s">
        <v>2210</v>
      </c>
      <c r="G215" s="63" t="s">
        <v>18</v>
      </c>
      <c r="H215" s="63" t="s">
        <v>18</v>
      </c>
      <c r="I215" s="63" t="s">
        <v>704</v>
      </c>
    </row>
    <row r="216" ht="11.25" customHeight="1">
      <c r="A216" s="63" t="s">
        <v>2167</v>
      </c>
      <c r="B216" s="63" t="s">
        <v>14</v>
      </c>
      <c r="C216" s="63" t="s">
        <v>2990</v>
      </c>
      <c r="D216" s="63" t="s">
        <v>2991</v>
      </c>
      <c r="E216" s="63" t="s">
        <v>2992</v>
      </c>
      <c r="F216" s="63" t="s">
        <v>2993</v>
      </c>
      <c r="G216" s="63" t="s">
        <v>2994</v>
      </c>
      <c r="H216" s="63" t="s">
        <v>18</v>
      </c>
      <c r="I216" s="63" t="s">
        <v>704</v>
      </c>
    </row>
    <row r="217" ht="11.25" customHeight="1">
      <c r="A217" s="63" t="s">
        <v>2167</v>
      </c>
      <c r="B217" s="63" t="s">
        <v>14</v>
      </c>
      <c r="C217" s="63" t="s">
        <v>2995</v>
      </c>
      <c r="D217" s="63" t="s">
        <v>2996</v>
      </c>
      <c r="E217" s="63" t="s">
        <v>2997</v>
      </c>
      <c r="F217" s="63" t="s">
        <v>2218</v>
      </c>
      <c r="G217" s="63" t="s">
        <v>2998</v>
      </c>
      <c r="H217" s="63" t="s">
        <v>18</v>
      </c>
      <c r="I217" s="63" t="s">
        <v>704</v>
      </c>
    </row>
    <row r="218" ht="11.25" customHeight="1">
      <c r="A218" s="63" t="s">
        <v>2167</v>
      </c>
      <c r="B218" s="63" t="s">
        <v>14</v>
      </c>
      <c r="C218" s="63" t="s">
        <v>2999</v>
      </c>
      <c r="D218" s="63" t="s">
        <v>3000</v>
      </c>
      <c r="E218" s="63" t="s">
        <v>3001</v>
      </c>
      <c r="F218" s="63" t="s">
        <v>2190</v>
      </c>
      <c r="G218" s="63" t="s">
        <v>18</v>
      </c>
      <c r="H218" s="63" t="s">
        <v>18</v>
      </c>
      <c r="I218" s="63" t="s">
        <v>704</v>
      </c>
    </row>
    <row r="219" ht="11.25" customHeight="1">
      <c r="A219" s="63" t="s">
        <v>2167</v>
      </c>
      <c r="B219" s="63" t="s">
        <v>14</v>
      </c>
      <c r="C219" s="63" t="s">
        <v>3002</v>
      </c>
      <c r="D219" s="63" t="s">
        <v>3003</v>
      </c>
      <c r="E219" s="63" t="s">
        <v>3004</v>
      </c>
      <c r="F219" s="63" t="s">
        <v>3005</v>
      </c>
      <c r="G219" s="63" t="s">
        <v>18</v>
      </c>
      <c r="H219" s="63" t="s">
        <v>18</v>
      </c>
      <c r="I219" s="63" t="s">
        <v>704</v>
      </c>
    </row>
    <row r="220" ht="11.25" customHeight="1">
      <c r="A220" s="63" t="s">
        <v>2167</v>
      </c>
      <c r="B220" s="63" t="s">
        <v>14</v>
      </c>
      <c r="C220" s="63" t="s">
        <v>3006</v>
      </c>
      <c r="D220" s="63" t="s">
        <v>3007</v>
      </c>
      <c r="E220" s="63" t="s">
        <v>3008</v>
      </c>
      <c r="F220" s="63" t="s">
        <v>2210</v>
      </c>
      <c r="G220" s="63" t="s">
        <v>3009</v>
      </c>
      <c r="H220" s="63" t="s">
        <v>18</v>
      </c>
      <c r="I220" s="63" t="s">
        <v>704</v>
      </c>
    </row>
    <row r="221" ht="11.25" customHeight="1">
      <c r="A221" s="63" t="s">
        <v>2167</v>
      </c>
      <c r="B221" s="63" t="s">
        <v>14</v>
      </c>
      <c r="C221" s="63" t="s">
        <v>3010</v>
      </c>
      <c r="D221" s="63" t="s">
        <v>3011</v>
      </c>
      <c r="E221" s="63" t="s">
        <v>3012</v>
      </c>
      <c r="F221" s="63" t="s">
        <v>2602</v>
      </c>
      <c r="G221" s="63" t="s">
        <v>3013</v>
      </c>
      <c r="H221" s="63" t="s">
        <v>18</v>
      </c>
      <c r="I221" s="63" t="s">
        <v>704</v>
      </c>
    </row>
    <row r="222" ht="11.25" customHeight="1">
      <c r="A222" s="63" t="s">
        <v>2167</v>
      </c>
      <c r="B222" s="63" t="s">
        <v>14</v>
      </c>
      <c r="C222" s="63" t="s">
        <v>3014</v>
      </c>
      <c r="D222" s="63" t="s">
        <v>3015</v>
      </c>
      <c r="E222" s="63" t="s">
        <v>3016</v>
      </c>
      <c r="F222" s="63" t="s">
        <v>2210</v>
      </c>
      <c r="G222" s="63" t="s">
        <v>18</v>
      </c>
      <c r="H222" s="63" t="s">
        <v>18</v>
      </c>
      <c r="I222" s="63" t="s">
        <v>704</v>
      </c>
    </row>
    <row r="223" ht="11.25" customHeight="1">
      <c r="A223" s="63" t="s">
        <v>2167</v>
      </c>
      <c r="B223" s="63" t="s">
        <v>14</v>
      </c>
      <c r="C223" s="63" t="s">
        <v>3017</v>
      </c>
      <c r="D223" s="63" t="s">
        <v>3018</v>
      </c>
      <c r="E223" s="63" t="s">
        <v>3019</v>
      </c>
      <c r="F223" s="63" t="s">
        <v>2307</v>
      </c>
      <c r="G223" s="63" t="s">
        <v>3020</v>
      </c>
      <c r="H223" s="63" t="s">
        <v>18</v>
      </c>
      <c r="I223" s="63" t="s">
        <v>704</v>
      </c>
    </row>
    <row r="224" ht="11.25" customHeight="1">
      <c r="A224" s="63" t="s">
        <v>2167</v>
      </c>
      <c r="B224" s="63" t="s">
        <v>14</v>
      </c>
      <c r="C224" s="63" t="s">
        <v>3021</v>
      </c>
      <c r="D224" s="63" t="s">
        <v>3022</v>
      </c>
      <c r="E224" s="63" t="s">
        <v>3023</v>
      </c>
      <c r="F224" s="63" t="s">
        <v>2176</v>
      </c>
      <c r="G224" s="63" t="s">
        <v>3024</v>
      </c>
      <c r="H224" s="63" t="s">
        <v>18</v>
      </c>
      <c r="I224" s="63" t="s">
        <v>704</v>
      </c>
    </row>
    <row r="225" ht="11.25" customHeight="1">
      <c r="A225" s="63" t="s">
        <v>2167</v>
      </c>
      <c r="B225" s="63" t="s">
        <v>14</v>
      </c>
      <c r="C225" s="63" t="s">
        <v>3025</v>
      </c>
      <c r="D225" s="63" t="s">
        <v>3026</v>
      </c>
      <c r="E225" s="63" t="s">
        <v>3027</v>
      </c>
      <c r="F225" s="63" t="s">
        <v>2210</v>
      </c>
      <c r="G225" s="63" t="s">
        <v>3028</v>
      </c>
      <c r="H225" s="63" t="s">
        <v>18</v>
      </c>
      <c r="I225" s="63" t="s">
        <v>704</v>
      </c>
    </row>
    <row r="226" ht="11.25" customHeight="1">
      <c r="A226" s="63" t="s">
        <v>2167</v>
      </c>
      <c r="B226" s="63" t="s">
        <v>14</v>
      </c>
      <c r="C226" s="63" t="s">
        <v>3029</v>
      </c>
      <c r="D226" s="63" t="s">
        <v>3030</v>
      </c>
      <c r="E226" s="63" t="s">
        <v>3031</v>
      </c>
      <c r="F226" s="63" t="s">
        <v>2218</v>
      </c>
      <c r="G226" s="63" t="s">
        <v>3032</v>
      </c>
      <c r="H226" s="63" t="s">
        <v>18</v>
      </c>
      <c r="I226" s="63" t="s">
        <v>704</v>
      </c>
    </row>
    <row r="227" ht="11.25" customHeight="1">
      <c r="A227" s="63" t="s">
        <v>2167</v>
      </c>
      <c r="B227" s="63" t="s">
        <v>14</v>
      </c>
      <c r="C227" s="63" t="s">
        <v>3033</v>
      </c>
      <c r="D227" s="63" t="s">
        <v>3034</v>
      </c>
      <c r="E227" s="63" t="s">
        <v>3035</v>
      </c>
      <c r="F227" s="63" t="s">
        <v>2171</v>
      </c>
      <c r="G227" s="63" t="s">
        <v>3036</v>
      </c>
      <c r="H227" s="63" t="s">
        <v>18</v>
      </c>
      <c r="I227" s="63" t="s">
        <v>704</v>
      </c>
    </row>
    <row r="228" ht="11.25" customHeight="1">
      <c r="A228" s="63" t="s">
        <v>2167</v>
      </c>
      <c r="B228" s="63" t="s">
        <v>14</v>
      </c>
      <c r="C228" s="63" t="s">
        <v>3037</v>
      </c>
      <c r="D228" s="63" t="s">
        <v>3038</v>
      </c>
      <c r="E228" s="63" t="s">
        <v>3039</v>
      </c>
      <c r="F228" s="63" t="s">
        <v>2171</v>
      </c>
      <c r="G228" s="63" t="s">
        <v>3040</v>
      </c>
      <c r="H228" s="63" t="s">
        <v>18</v>
      </c>
      <c r="I228" s="63" t="s">
        <v>704</v>
      </c>
    </row>
    <row r="229" ht="11.25" customHeight="1">
      <c r="A229" s="63" t="s">
        <v>2167</v>
      </c>
      <c r="B229" s="63" t="s">
        <v>14</v>
      </c>
      <c r="C229" s="63" t="s">
        <v>3041</v>
      </c>
      <c r="D229" s="63" t="s">
        <v>3042</v>
      </c>
      <c r="E229" s="63" t="s">
        <v>3043</v>
      </c>
      <c r="F229" s="63" t="s">
        <v>2210</v>
      </c>
      <c r="G229" s="63" t="s">
        <v>3044</v>
      </c>
      <c r="H229" s="63" t="s">
        <v>18</v>
      </c>
      <c r="I229" s="63" t="s">
        <v>704</v>
      </c>
    </row>
    <row r="230" ht="11.25" customHeight="1">
      <c r="A230" s="63" t="s">
        <v>2167</v>
      </c>
      <c r="B230" s="63" t="s">
        <v>14</v>
      </c>
      <c r="C230" s="63" t="s">
        <v>3045</v>
      </c>
      <c r="D230" s="63" t="s">
        <v>3042</v>
      </c>
      <c r="E230" s="63" t="s">
        <v>3046</v>
      </c>
      <c r="F230" s="63" t="s">
        <v>2311</v>
      </c>
      <c r="G230" s="63" t="s">
        <v>3047</v>
      </c>
      <c r="H230" s="63" t="s">
        <v>18</v>
      </c>
      <c r="I230" s="63" t="s">
        <v>704</v>
      </c>
    </row>
    <row r="231" ht="11.25" customHeight="1">
      <c r="A231" s="63" t="s">
        <v>2167</v>
      </c>
      <c r="B231" s="63" t="s">
        <v>14</v>
      </c>
      <c r="C231" s="63" t="s">
        <v>3048</v>
      </c>
      <c r="D231" s="63" t="s">
        <v>3049</v>
      </c>
      <c r="E231" s="63" t="s">
        <v>3050</v>
      </c>
      <c r="F231" s="63" t="s">
        <v>2249</v>
      </c>
      <c r="G231" s="63" t="s">
        <v>3051</v>
      </c>
      <c r="H231" s="63" t="s">
        <v>18</v>
      </c>
      <c r="I231" s="63" t="s">
        <v>704</v>
      </c>
    </row>
    <row r="232" ht="11.25" customHeight="1">
      <c r="A232" s="63" t="s">
        <v>2167</v>
      </c>
      <c r="B232" s="63" t="s">
        <v>14</v>
      </c>
      <c r="C232" s="63" t="s">
        <v>3052</v>
      </c>
      <c r="D232" s="63" t="s">
        <v>3053</v>
      </c>
      <c r="E232" s="63" t="s">
        <v>3054</v>
      </c>
      <c r="F232" s="63" t="s">
        <v>3055</v>
      </c>
      <c r="G232" s="63" t="s">
        <v>18</v>
      </c>
      <c r="H232" s="63" t="s">
        <v>18</v>
      </c>
      <c r="I232" s="63" t="s">
        <v>704</v>
      </c>
    </row>
    <row r="233" ht="11.25" customHeight="1">
      <c r="A233" s="63" t="s">
        <v>2167</v>
      </c>
      <c r="B233" s="63" t="s">
        <v>14</v>
      </c>
      <c r="C233" s="63" t="s">
        <v>3056</v>
      </c>
      <c r="D233" s="63" t="s">
        <v>3057</v>
      </c>
      <c r="E233" s="63" t="s">
        <v>3058</v>
      </c>
      <c r="F233" s="63" t="s">
        <v>2307</v>
      </c>
      <c r="G233" s="63" t="s">
        <v>18</v>
      </c>
      <c r="H233" s="63" t="s">
        <v>18</v>
      </c>
      <c r="I233" s="63" t="s">
        <v>704</v>
      </c>
    </row>
    <row r="234" ht="11.25" customHeight="1">
      <c r="A234" s="63" t="s">
        <v>2167</v>
      </c>
      <c r="B234" s="63" t="s">
        <v>14</v>
      </c>
      <c r="C234" s="63" t="s">
        <v>3059</v>
      </c>
      <c r="D234" s="63" t="s">
        <v>3060</v>
      </c>
      <c r="E234" s="63" t="s">
        <v>3061</v>
      </c>
      <c r="F234" s="63" t="s">
        <v>3062</v>
      </c>
      <c r="G234" s="63" t="s">
        <v>18</v>
      </c>
      <c r="H234" s="63" t="s">
        <v>18</v>
      </c>
      <c r="I234" s="63" t="s">
        <v>704</v>
      </c>
    </row>
    <row r="235" ht="11.25" customHeight="1">
      <c r="A235" s="63" t="s">
        <v>2167</v>
      </c>
      <c r="B235" s="63" t="s">
        <v>14</v>
      </c>
      <c r="C235" s="63" t="s">
        <v>3063</v>
      </c>
      <c r="D235" s="63" t="s">
        <v>3064</v>
      </c>
      <c r="E235" s="63" t="s">
        <v>3065</v>
      </c>
      <c r="F235" s="63" t="s">
        <v>2171</v>
      </c>
      <c r="G235" s="63" t="s">
        <v>3066</v>
      </c>
      <c r="H235" s="63" t="s">
        <v>18</v>
      </c>
      <c r="I235" s="63" t="s">
        <v>704</v>
      </c>
    </row>
    <row r="236" ht="11.25" customHeight="1">
      <c r="A236" s="63" t="s">
        <v>2167</v>
      </c>
      <c r="B236" s="63" t="s">
        <v>14</v>
      </c>
      <c r="C236" s="63" t="s">
        <v>3067</v>
      </c>
      <c r="D236" s="63" t="s">
        <v>3068</v>
      </c>
      <c r="E236" s="63" t="s">
        <v>3069</v>
      </c>
      <c r="F236" s="63" t="s">
        <v>2171</v>
      </c>
      <c r="G236" s="63" t="s">
        <v>3040</v>
      </c>
      <c r="H236" s="63" t="s">
        <v>18</v>
      </c>
      <c r="I236" s="63" t="s">
        <v>704</v>
      </c>
    </row>
    <row r="237" ht="11.25" customHeight="1">
      <c r="A237" s="63" t="s">
        <v>2167</v>
      </c>
      <c r="B237" s="63" t="s">
        <v>14</v>
      </c>
      <c r="C237" s="63" t="s">
        <v>3070</v>
      </c>
      <c r="D237" s="63" t="s">
        <v>3071</v>
      </c>
      <c r="E237" s="63" t="s">
        <v>3072</v>
      </c>
      <c r="F237" s="63" t="s">
        <v>2176</v>
      </c>
      <c r="G237" s="63" t="s">
        <v>3073</v>
      </c>
      <c r="H237" s="63" t="s">
        <v>18</v>
      </c>
      <c r="I237" s="63" t="s">
        <v>704</v>
      </c>
    </row>
    <row r="238" ht="11.25" customHeight="1">
      <c r="A238" s="63" t="s">
        <v>2167</v>
      </c>
      <c r="B238" s="63" t="s">
        <v>14</v>
      </c>
      <c r="C238" s="63" t="s">
        <v>3074</v>
      </c>
      <c r="D238" s="63" t="s">
        <v>3075</v>
      </c>
      <c r="E238" s="63" t="s">
        <v>3076</v>
      </c>
      <c r="F238" s="63" t="s">
        <v>2176</v>
      </c>
      <c r="G238" s="63" t="s">
        <v>18</v>
      </c>
      <c r="H238" s="63" t="s">
        <v>18</v>
      </c>
      <c r="I238" s="63" t="s">
        <v>704</v>
      </c>
    </row>
    <row r="239" ht="11.25" customHeight="1">
      <c r="A239" s="63" t="s">
        <v>2167</v>
      </c>
      <c r="B239" s="63" t="s">
        <v>14</v>
      </c>
      <c r="C239" s="63" t="s">
        <v>3077</v>
      </c>
      <c r="D239" s="63" t="s">
        <v>3078</v>
      </c>
      <c r="E239" s="63" t="s">
        <v>3079</v>
      </c>
      <c r="F239" s="63" t="s">
        <v>3080</v>
      </c>
      <c r="G239" s="63" t="s">
        <v>18</v>
      </c>
      <c r="H239" s="63" t="s">
        <v>18</v>
      </c>
      <c r="I239" s="63" t="s">
        <v>704</v>
      </c>
    </row>
    <row r="240" ht="11.25" customHeight="1">
      <c r="A240" s="63" t="s">
        <v>2167</v>
      </c>
      <c r="B240" s="63" t="s">
        <v>14</v>
      </c>
      <c r="C240" s="63" t="s">
        <v>3081</v>
      </c>
      <c r="D240" s="63" t="s">
        <v>3082</v>
      </c>
      <c r="E240" s="63" t="s">
        <v>3083</v>
      </c>
      <c r="F240" s="63" t="s">
        <v>2218</v>
      </c>
      <c r="G240" s="63" t="s">
        <v>3084</v>
      </c>
      <c r="H240" s="63" t="s">
        <v>18</v>
      </c>
      <c r="I240" s="63" t="s">
        <v>704</v>
      </c>
    </row>
    <row r="241" ht="11.25" customHeight="1">
      <c r="A241" s="63" t="s">
        <v>2167</v>
      </c>
      <c r="B241" s="63" t="s">
        <v>14</v>
      </c>
      <c r="C241" s="63" t="s">
        <v>3085</v>
      </c>
      <c r="D241" s="63" t="s">
        <v>3086</v>
      </c>
      <c r="E241" s="63" t="s">
        <v>3087</v>
      </c>
      <c r="F241" s="63" t="s">
        <v>2311</v>
      </c>
      <c r="G241" s="63" t="s">
        <v>3088</v>
      </c>
      <c r="H241" s="63" t="s">
        <v>18</v>
      </c>
      <c r="I241" s="63" t="s">
        <v>704</v>
      </c>
    </row>
    <row r="242" ht="11.25" customHeight="1">
      <c r="A242" s="63" t="s">
        <v>2167</v>
      </c>
      <c r="B242" s="63" t="s">
        <v>14</v>
      </c>
      <c r="C242" s="63" t="s">
        <v>3089</v>
      </c>
      <c r="D242" s="63" t="s">
        <v>3090</v>
      </c>
      <c r="E242" s="63" t="s">
        <v>3091</v>
      </c>
      <c r="F242" s="63" t="s">
        <v>2218</v>
      </c>
      <c r="G242" s="63" t="s">
        <v>3092</v>
      </c>
      <c r="H242" s="63" t="s">
        <v>18</v>
      </c>
      <c r="I242" s="63" t="s">
        <v>704</v>
      </c>
    </row>
    <row r="243" ht="11.25" customHeight="1">
      <c r="A243" s="63" t="s">
        <v>2167</v>
      </c>
      <c r="B243" s="63" t="s">
        <v>14</v>
      </c>
      <c r="C243" s="63" t="s">
        <v>3093</v>
      </c>
      <c r="D243" s="63" t="s">
        <v>3094</v>
      </c>
      <c r="E243" s="63" t="s">
        <v>3095</v>
      </c>
      <c r="F243" s="63" t="s">
        <v>3096</v>
      </c>
      <c r="G243" s="63" t="s">
        <v>18</v>
      </c>
      <c r="H243" s="63" t="s">
        <v>18</v>
      </c>
      <c r="I243" s="63" t="s">
        <v>704</v>
      </c>
    </row>
    <row r="244" ht="11.25" customHeight="1">
      <c r="A244" s="63" t="s">
        <v>2167</v>
      </c>
      <c r="B244" s="63" t="s">
        <v>14</v>
      </c>
      <c r="C244" s="63" t="s">
        <v>3097</v>
      </c>
      <c r="D244" s="63" t="s">
        <v>3098</v>
      </c>
      <c r="E244" s="63" t="s">
        <v>3099</v>
      </c>
      <c r="F244" s="63" t="s">
        <v>2249</v>
      </c>
      <c r="G244" s="63" t="s">
        <v>18</v>
      </c>
      <c r="H244" s="63" t="s">
        <v>18</v>
      </c>
      <c r="I244" s="63" t="s">
        <v>704</v>
      </c>
    </row>
    <row r="245" ht="11.25" customHeight="1">
      <c r="A245" s="63" t="s">
        <v>2167</v>
      </c>
      <c r="B245" s="63" t="s">
        <v>14</v>
      </c>
      <c r="C245" s="63" t="s">
        <v>3100</v>
      </c>
      <c r="D245" s="63" t="s">
        <v>3101</v>
      </c>
      <c r="E245" s="63" t="s">
        <v>3102</v>
      </c>
      <c r="F245" s="63" t="s">
        <v>2249</v>
      </c>
      <c r="G245" s="63" t="s">
        <v>3103</v>
      </c>
      <c r="H245" s="63" t="s">
        <v>18</v>
      </c>
      <c r="I245" s="63" t="s">
        <v>704</v>
      </c>
    </row>
    <row r="246" ht="11.25" customHeight="1">
      <c r="A246" s="63" t="s">
        <v>2167</v>
      </c>
      <c r="B246" s="63" t="s">
        <v>14</v>
      </c>
      <c r="C246" s="63" t="s">
        <v>3104</v>
      </c>
      <c r="D246" s="63" t="s">
        <v>3105</v>
      </c>
      <c r="E246" s="63" t="s">
        <v>3106</v>
      </c>
      <c r="F246" s="63" t="s">
        <v>3107</v>
      </c>
      <c r="G246" s="63" t="s">
        <v>3108</v>
      </c>
      <c r="H246" s="63" t="s">
        <v>18</v>
      </c>
      <c r="I246" s="63" t="s">
        <v>704</v>
      </c>
    </row>
    <row r="247" ht="11.25" customHeight="1">
      <c r="A247" s="63" t="s">
        <v>2167</v>
      </c>
      <c r="B247" s="63" t="s">
        <v>14</v>
      </c>
      <c r="C247" s="63" t="s">
        <v>3109</v>
      </c>
      <c r="D247" s="63" t="s">
        <v>3110</v>
      </c>
      <c r="E247" s="63" t="s">
        <v>3111</v>
      </c>
      <c r="F247" s="63" t="s">
        <v>2171</v>
      </c>
      <c r="G247" s="63" t="s">
        <v>3112</v>
      </c>
      <c r="H247" s="63" t="s">
        <v>18</v>
      </c>
      <c r="I247" s="63" t="s">
        <v>704</v>
      </c>
    </row>
    <row r="248" ht="11.25" customHeight="1">
      <c r="A248" s="63" t="s">
        <v>2167</v>
      </c>
      <c r="B248" s="63" t="s">
        <v>14</v>
      </c>
      <c r="C248" s="63" t="s">
        <v>3113</v>
      </c>
      <c r="D248" s="63" t="s">
        <v>3114</v>
      </c>
      <c r="E248" s="63" t="s">
        <v>3115</v>
      </c>
      <c r="F248" s="63" t="s">
        <v>2171</v>
      </c>
      <c r="G248" s="63" t="s">
        <v>3116</v>
      </c>
      <c r="H248" s="63" t="s">
        <v>18</v>
      </c>
      <c r="I248" s="63" t="s">
        <v>704</v>
      </c>
    </row>
    <row r="249" ht="11.25" customHeight="1">
      <c r="A249" s="63" t="s">
        <v>2167</v>
      </c>
      <c r="B249" s="63" t="s">
        <v>14</v>
      </c>
      <c r="C249" s="63" t="s">
        <v>3117</v>
      </c>
      <c r="D249" s="63" t="s">
        <v>3118</v>
      </c>
      <c r="E249" s="63" t="s">
        <v>3119</v>
      </c>
      <c r="F249" s="63" t="s">
        <v>2538</v>
      </c>
      <c r="G249" s="63" t="s">
        <v>18</v>
      </c>
      <c r="H249" s="63" t="s">
        <v>18</v>
      </c>
      <c r="I249" s="63" t="s">
        <v>704</v>
      </c>
    </row>
    <row r="250" ht="11.25" customHeight="1">
      <c r="A250" s="63" t="s">
        <v>2167</v>
      </c>
      <c r="B250" s="63" t="s">
        <v>14</v>
      </c>
      <c r="C250" s="63" t="s">
        <v>3120</v>
      </c>
      <c r="D250" s="63" t="s">
        <v>3121</v>
      </c>
      <c r="E250" s="63" t="s">
        <v>3122</v>
      </c>
      <c r="F250" s="63" t="s">
        <v>2311</v>
      </c>
      <c r="G250" s="63" t="s">
        <v>3123</v>
      </c>
      <c r="H250" s="63" t="s">
        <v>18</v>
      </c>
      <c r="I250" s="63" t="s">
        <v>704</v>
      </c>
    </row>
    <row r="251" ht="11.25" customHeight="1">
      <c r="A251" s="63" t="s">
        <v>2167</v>
      </c>
      <c r="B251" s="63" t="s">
        <v>14</v>
      </c>
      <c r="C251" s="63" t="s">
        <v>3124</v>
      </c>
      <c r="D251" s="63" t="s">
        <v>3125</v>
      </c>
      <c r="E251" s="63" t="s">
        <v>3126</v>
      </c>
      <c r="F251" s="63" t="s">
        <v>3127</v>
      </c>
      <c r="G251" s="63" t="s">
        <v>3128</v>
      </c>
      <c r="H251" s="63" t="s">
        <v>18</v>
      </c>
      <c r="I251" s="63" t="s">
        <v>704</v>
      </c>
    </row>
    <row r="252" ht="11.25" customHeight="1">
      <c r="A252" s="63" t="s">
        <v>2167</v>
      </c>
      <c r="B252" s="63" t="s">
        <v>14</v>
      </c>
      <c r="C252" s="63" t="s">
        <v>3129</v>
      </c>
      <c r="D252" s="63" t="s">
        <v>3130</v>
      </c>
      <c r="E252" s="63" t="s">
        <v>3131</v>
      </c>
      <c r="F252" s="63" t="s">
        <v>2291</v>
      </c>
      <c r="G252" s="63" t="s">
        <v>3132</v>
      </c>
      <c r="H252" s="63" t="s">
        <v>18</v>
      </c>
      <c r="I252" s="63" t="s">
        <v>704</v>
      </c>
    </row>
    <row r="253" ht="11.25" customHeight="1">
      <c r="A253" s="63" t="s">
        <v>2167</v>
      </c>
      <c r="B253" s="63" t="s">
        <v>14</v>
      </c>
      <c r="C253" s="63" t="s">
        <v>3133</v>
      </c>
      <c r="D253" s="63" t="s">
        <v>3134</v>
      </c>
      <c r="E253" s="63" t="s">
        <v>3135</v>
      </c>
      <c r="F253" s="63" t="s">
        <v>2176</v>
      </c>
      <c r="G253" s="63" t="s">
        <v>3136</v>
      </c>
      <c r="H253" s="63" t="s">
        <v>18</v>
      </c>
      <c r="I253" s="63" t="s">
        <v>704</v>
      </c>
    </row>
    <row r="254" ht="11.25" customHeight="1">
      <c r="A254" s="63" t="s">
        <v>2167</v>
      </c>
      <c r="B254" s="63" t="s">
        <v>14</v>
      </c>
      <c r="C254" s="63" t="s">
        <v>3137</v>
      </c>
      <c r="D254" s="63" t="s">
        <v>3138</v>
      </c>
      <c r="E254" s="63" t="s">
        <v>3139</v>
      </c>
      <c r="F254" s="63" t="s">
        <v>2218</v>
      </c>
      <c r="G254" s="63" t="s">
        <v>3140</v>
      </c>
      <c r="H254" s="63" t="s">
        <v>18</v>
      </c>
      <c r="I254" s="63" t="s">
        <v>704</v>
      </c>
    </row>
    <row r="255" ht="11.25" customHeight="1">
      <c r="A255" s="63" t="s">
        <v>2167</v>
      </c>
      <c r="B255" s="63" t="s">
        <v>14</v>
      </c>
      <c r="C255" s="63" t="s">
        <v>3141</v>
      </c>
      <c r="D255" s="63" t="s">
        <v>3142</v>
      </c>
      <c r="E255" s="63" t="s">
        <v>3143</v>
      </c>
      <c r="F255" s="63" t="s">
        <v>2269</v>
      </c>
      <c r="G255" s="63" t="s">
        <v>18</v>
      </c>
      <c r="H255" s="63" t="s">
        <v>18</v>
      </c>
      <c r="I255" s="63" t="s">
        <v>704</v>
      </c>
    </row>
    <row r="256" ht="11.25" customHeight="1">
      <c r="A256" s="63" t="s">
        <v>2167</v>
      </c>
      <c r="B256" s="63" t="s">
        <v>14</v>
      </c>
      <c r="C256" s="63" t="s">
        <v>3144</v>
      </c>
      <c r="D256" s="63" t="s">
        <v>3145</v>
      </c>
      <c r="E256" s="63" t="s">
        <v>3146</v>
      </c>
      <c r="F256" s="63" t="s">
        <v>2311</v>
      </c>
      <c r="G256" s="63" t="s">
        <v>3147</v>
      </c>
      <c r="H256" s="63" t="s">
        <v>18</v>
      </c>
      <c r="I256" s="63" t="s">
        <v>704</v>
      </c>
    </row>
    <row r="257" ht="11.25" customHeight="1">
      <c r="A257" s="63" t="s">
        <v>2167</v>
      </c>
      <c r="B257" s="63" t="s">
        <v>14</v>
      </c>
      <c r="C257" s="63" t="s">
        <v>3148</v>
      </c>
      <c r="D257" s="63" t="s">
        <v>3149</v>
      </c>
      <c r="E257" s="63" t="s">
        <v>3150</v>
      </c>
      <c r="F257" s="63" t="s">
        <v>2283</v>
      </c>
      <c r="G257" s="63" t="s">
        <v>18</v>
      </c>
      <c r="H257" s="63" t="s">
        <v>18</v>
      </c>
      <c r="I257" s="63" t="s">
        <v>704</v>
      </c>
    </row>
    <row r="258" ht="11.25" customHeight="1">
      <c r="A258" s="63" t="s">
        <v>2167</v>
      </c>
      <c r="B258" s="63" t="s">
        <v>14</v>
      </c>
      <c r="C258" s="63" t="s">
        <v>3151</v>
      </c>
      <c r="D258" s="63" t="s">
        <v>3152</v>
      </c>
      <c r="E258" s="63" t="s">
        <v>3153</v>
      </c>
      <c r="F258" s="63" t="s">
        <v>2218</v>
      </c>
      <c r="G258" s="63" t="s">
        <v>3154</v>
      </c>
      <c r="H258" s="63" t="s">
        <v>18</v>
      </c>
      <c r="I258" s="63" t="s">
        <v>704</v>
      </c>
    </row>
    <row r="259" ht="11.25" customHeight="1">
      <c r="A259" s="63" t="s">
        <v>2167</v>
      </c>
      <c r="B259" s="63" t="s">
        <v>14</v>
      </c>
      <c r="C259" s="63" t="s">
        <v>3155</v>
      </c>
      <c r="D259" s="63" t="s">
        <v>3156</v>
      </c>
      <c r="E259" s="63" t="s">
        <v>3157</v>
      </c>
      <c r="F259" s="63" t="s">
        <v>3158</v>
      </c>
      <c r="G259" s="63" t="s">
        <v>3159</v>
      </c>
      <c r="H259" s="63" t="s">
        <v>18</v>
      </c>
      <c r="I259" s="63" t="s">
        <v>704</v>
      </c>
    </row>
    <row r="260" ht="11.25" customHeight="1">
      <c r="A260" s="63" t="s">
        <v>2167</v>
      </c>
      <c r="B260" s="63" t="s">
        <v>14</v>
      </c>
      <c r="C260" s="63" t="s">
        <v>3160</v>
      </c>
      <c r="D260" s="63" t="s">
        <v>3161</v>
      </c>
      <c r="E260" s="63" t="s">
        <v>3162</v>
      </c>
      <c r="F260" s="63" t="s">
        <v>2249</v>
      </c>
      <c r="G260" s="63" t="s">
        <v>18</v>
      </c>
      <c r="H260" s="63" t="s">
        <v>18</v>
      </c>
      <c r="I260" s="63" t="s">
        <v>704</v>
      </c>
    </row>
    <row r="261" ht="11.25" customHeight="1">
      <c r="A261" s="63" t="s">
        <v>2167</v>
      </c>
      <c r="B261" s="63" t="s">
        <v>14</v>
      </c>
      <c r="C261" s="63" t="s">
        <v>3163</v>
      </c>
      <c r="D261" s="63" t="s">
        <v>3164</v>
      </c>
      <c r="E261" s="63" t="s">
        <v>3165</v>
      </c>
      <c r="F261" s="63" t="s">
        <v>2283</v>
      </c>
      <c r="G261" s="63" t="s">
        <v>18</v>
      </c>
      <c r="H261" s="63" t="s">
        <v>18</v>
      </c>
      <c r="I261" s="63" t="s">
        <v>704</v>
      </c>
    </row>
    <row r="262" ht="11.25" customHeight="1">
      <c r="A262" s="63" t="s">
        <v>2167</v>
      </c>
      <c r="B262" s="63" t="s">
        <v>14</v>
      </c>
      <c r="C262" s="63" t="s">
        <v>3166</v>
      </c>
      <c r="D262" s="63" t="s">
        <v>3167</v>
      </c>
      <c r="E262" s="63" t="s">
        <v>3168</v>
      </c>
      <c r="F262" s="63" t="s">
        <v>2218</v>
      </c>
      <c r="G262" s="63" t="s">
        <v>3169</v>
      </c>
      <c r="H262" s="63" t="s">
        <v>18</v>
      </c>
      <c r="I262" s="63" t="s">
        <v>704</v>
      </c>
    </row>
    <row r="263" ht="11.25" customHeight="1">
      <c r="A263" s="63" t="s">
        <v>2167</v>
      </c>
      <c r="B263" s="63" t="s">
        <v>14</v>
      </c>
      <c r="C263" s="63" t="s">
        <v>3170</v>
      </c>
      <c r="D263" s="63" t="s">
        <v>3171</v>
      </c>
      <c r="E263" s="63" t="s">
        <v>3172</v>
      </c>
      <c r="F263" s="63" t="s">
        <v>2171</v>
      </c>
      <c r="G263" s="63" t="s">
        <v>18</v>
      </c>
      <c r="H263" s="63" t="s">
        <v>18</v>
      </c>
      <c r="I263" s="63" t="s">
        <v>704</v>
      </c>
    </row>
    <row r="264" ht="11.25" customHeight="1">
      <c r="A264" s="63" t="s">
        <v>2167</v>
      </c>
      <c r="B264" s="63" t="s">
        <v>14</v>
      </c>
      <c r="C264" s="63" t="s">
        <v>3173</v>
      </c>
      <c r="D264" s="63" t="s">
        <v>3174</v>
      </c>
      <c r="E264" s="63" t="s">
        <v>3175</v>
      </c>
      <c r="F264" s="63" t="s">
        <v>2311</v>
      </c>
      <c r="G264" s="63" t="s">
        <v>3176</v>
      </c>
      <c r="H264" s="63" t="s">
        <v>18</v>
      </c>
      <c r="I264" s="63" t="s">
        <v>704</v>
      </c>
    </row>
    <row r="265" ht="11.25" customHeight="1">
      <c r="A265" s="63" t="s">
        <v>2167</v>
      </c>
      <c r="B265" s="63" t="s">
        <v>14</v>
      </c>
      <c r="C265" s="63" t="s">
        <v>3177</v>
      </c>
      <c r="D265" s="63" t="s">
        <v>3178</v>
      </c>
      <c r="E265" s="63" t="s">
        <v>3179</v>
      </c>
      <c r="F265" s="63" t="s">
        <v>2311</v>
      </c>
      <c r="G265" s="63" t="s">
        <v>3180</v>
      </c>
      <c r="H265" s="63" t="s">
        <v>18</v>
      </c>
      <c r="I265" s="63" t="s">
        <v>704</v>
      </c>
    </row>
    <row r="266" ht="11.25" customHeight="1">
      <c r="A266" s="63" t="s">
        <v>2167</v>
      </c>
      <c r="B266" s="63" t="s">
        <v>14</v>
      </c>
      <c r="C266" s="63" t="s">
        <v>3181</v>
      </c>
      <c r="D266" s="63" t="s">
        <v>3178</v>
      </c>
      <c r="E266" s="63" t="s">
        <v>3182</v>
      </c>
      <c r="F266" s="63" t="s">
        <v>2311</v>
      </c>
      <c r="G266" s="63" t="s">
        <v>3183</v>
      </c>
      <c r="H266" s="63" t="s">
        <v>18</v>
      </c>
      <c r="I266" s="63" t="s">
        <v>704</v>
      </c>
    </row>
    <row r="267" ht="11.25" customHeight="1">
      <c r="A267" s="63" t="s">
        <v>2167</v>
      </c>
      <c r="B267" s="63" t="s">
        <v>14</v>
      </c>
      <c r="C267" s="63" t="s">
        <v>3184</v>
      </c>
      <c r="D267" s="63" t="s">
        <v>3185</v>
      </c>
      <c r="E267" s="63" t="s">
        <v>3186</v>
      </c>
      <c r="F267" s="63" t="s">
        <v>2218</v>
      </c>
      <c r="G267" s="63" t="s">
        <v>3187</v>
      </c>
      <c r="H267" s="63" t="s">
        <v>18</v>
      </c>
      <c r="I267" s="63" t="s">
        <v>704</v>
      </c>
    </row>
    <row r="268" ht="11.25" customHeight="1">
      <c r="A268" s="63" t="s">
        <v>2167</v>
      </c>
      <c r="B268" s="63" t="s">
        <v>14</v>
      </c>
      <c r="C268" s="63" t="s">
        <v>3188</v>
      </c>
      <c r="D268" s="63" t="s">
        <v>3189</v>
      </c>
      <c r="E268" s="63" t="s">
        <v>3190</v>
      </c>
      <c r="F268" s="63" t="s">
        <v>2557</v>
      </c>
      <c r="G268" s="63" t="s">
        <v>18</v>
      </c>
      <c r="H268" s="63" t="s">
        <v>18</v>
      </c>
      <c r="I268" s="63" t="s">
        <v>704</v>
      </c>
    </row>
    <row r="269" ht="11.25" customHeight="1">
      <c r="A269" s="63" t="s">
        <v>2167</v>
      </c>
      <c r="B269" s="63" t="s">
        <v>14</v>
      </c>
      <c r="C269" s="63" t="s">
        <v>3191</v>
      </c>
      <c r="D269" s="63" t="s">
        <v>3192</v>
      </c>
      <c r="E269" s="63" t="s">
        <v>3193</v>
      </c>
      <c r="F269" s="63" t="s">
        <v>2171</v>
      </c>
      <c r="G269" s="63" t="s">
        <v>3194</v>
      </c>
      <c r="H269" s="63" t="s">
        <v>18</v>
      </c>
      <c r="I269" s="63" t="s">
        <v>704</v>
      </c>
    </row>
    <row r="270" ht="11.25" customHeight="1">
      <c r="A270" s="63" t="s">
        <v>2167</v>
      </c>
      <c r="B270" s="63" t="s">
        <v>14</v>
      </c>
      <c r="C270" s="63" t="s">
        <v>3195</v>
      </c>
      <c r="D270" s="63" t="s">
        <v>3196</v>
      </c>
      <c r="E270" s="63" t="s">
        <v>3197</v>
      </c>
      <c r="F270" s="63" t="s">
        <v>2171</v>
      </c>
      <c r="G270" s="63" t="s">
        <v>3198</v>
      </c>
      <c r="H270" s="63" t="s">
        <v>18</v>
      </c>
      <c r="I270" s="63" t="s">
        <v>704</v>
      </c>
    </row>
    <row r="271" ht="11.25" customHeight="1">
      <c r="A271" s="63" t="s">
        <v>2167</v>
      </c>
      <c r="B271" s="63" t="s">
        <v>14</v>
      </c>
      <c r="C271" s="63" t="s">
        <v>3199</v>
      </c>
      <c r="D271" s="63" t="s">
        <v>3200</v>
      </c>
      <c r="E271" s="63" t="s">
        <v>3201</v>
      </c>
      <c r="F271" s="63" t="s">
        <v>2171</v>
      </c>
      <c r="G271" s="63" t="s">
        <v>3202</v>
      </c>
      <c r="H271" s="63" t="s">
        <v>18</v>
      </c>
      <c r="I271" s="63" t="s">
        <v>704</v>
      </c>
    </row>
    <row r="272" ht="11.25" customHeight="1">
      <c r="A272" s="63" t="s">
        <v>2167</v>
      </c>
      <c r="B272" s="63" t="s">
        <v>14</v>
      </c>
      <c r="C272" s="63" t="s">
        <v>3203</v>
      </c>
      <c r="D272" s="63" t="s">
        <v>3204</v>
      </c>
      <c r="E272" s="63" t="s">
        <v>3205</v>
      </c>
      <c r="F272" s="63" t="s">
        <v>2218</v>
      </c>
      <c r="G272" s="63" t="s">
        <v>18</v>
      </c>
      <c r="H272" s="63" t="s">
        <v>18</v>
      </c>
      <c r="I272" s="63" t="s">
        <v>704</v>
      </c>
    </row>
    <row r="273" ht="11.25" customHeight="1">
      <c r="A273" s="63" t="s">
        <v>2167</v>
      </c>
      <c r="B273" s="63" t="s">
        <v>14</v>
      </c>
      <c r="C273" s="63" t="s">
        <v>3206</v>
      </c>
      <c r="D273" s="63" t="s">
        <v>3207</v>
      </c>
      <c r="E273" s="63" t="s">
        <v>3208</v>
      </c>
      <c r="F273" s="63" t="s">
        <v>2185</v>
      </c>
      <c r="G273" s="63" t="s">
        <v>18</v>
      </c>
      <c r="H273" s="63" t="s">
        <v>18</v>
      </c>
      <c r="I273" s="63" t="s">
        <v>704</v>
      </c>
    </row>
    <row r="274" ht="11.25" customHeight="1">
      <c r="A274" s="63" t="s">
        <v>2167</v>
      </c>
      <c r="B274" s="63" t="s">
        <v>14</v>
      </c>
      <c r="C274" s="63" t="s">
        <v>3209</v>
      </c>
      <c r="D274" s="63" t="s">
        <v>3210</v>
      </c>
      <c r="E274" s="63" t="s">
        <v>3211</v>
      </c>
      <c r="F274" s="63" t="s">
        <v>2218</v>
      </c>
      <c r="G274" s="63" t="s">
        <v>3212</v>
      </c>
      <c r="H274" s="63" t="s">
        <v>18</v>
      </c>
      <c r="I274" s="63" t="s">
        <v>704</v>
      </c>
    </row>
    <row r="275" ht="11.25" customHeight="1">
      <c r="A275" s="63" t="s">
        <v>2167</v>
      </c>
      <c r="B275" s="63" t="s">
        <v>14</v>
      </c>
      <c r="C275" s="63" t="s">
        <v>3213</v>
      </c>
      <c r="D275" s="63" t="s">
        <v>3214</v>
      </c>
      <c r="E275" s="63" t="s">
        <v>3215</v>
      </c>
      <c r="F275" s="63" t="s">
        <v>2176</v>
      </c>
      <c r="G275" s="63" t="s">
        <v>3216</v>
      </c>
      <c r="H275" s="63" t="s">
        <v>18</v>
      </c>
      <c r="I275" s="63" t="s">
        <v>704</v>
      </c>
    </row>
    <row r="276" ht="11.25" customHeight="1">
      <c r="A276" s="63" t="s">
        <v>2167</v>
      </c>
      <c r="B276" s="63" t="s">
        <v>14</v>
      </c>
      <c r="C276" s="63" t="s">
        <v>3217</v>
      </c>
      <c r="D276" s="63" t="s">
        <v>3218</v>
      </c>
      <c r="E276" s="63" t="s">
        <v>3219</v>
      </c>
      <c r="F276" s="63" t="s">
        <v>2598</v>
      </c>
      <c r="G276" s="63" t="s">
        <v>18</v>
      </c>
      <c r="H276" s="63" t="s">
        <v>18</v>
      </c>
      <c r="I276" s="63" t="s">
        <v>704</v>
      </c>
    </row>
    <row r="277" ht="11.25" customHeight="1">
      <c r="A277" s="63" t="s">
        <v>2167</v>
      </c>
      <c r="B277" s="63" t="s">
        <v>14</v>
      </c>
      <c r="C277" s="63" t="s">
        <v>3220</v>
      </c>
      <c r="D277" s="63" t="s">
        <v>3221</v>
      </c>
      <c r="E277" s="63" t="s">
        <v>3222</v>
      </c>
      <c r="F277" s="63" t="s">
        <v>3223</v>
      </c>
      <c r="G277" s="63" t="s">
        <v>3224</v>
      </c>
      <c r="H277" s="63" t="s">
        <v>18</v>
      </c>
      <c r="I277" s="63" t="s">
        <v>704</v>
      </c>
    </row>
    <row r="278" ht="11.25" customHeight="1">
      <c r="A278" s="63" t="s">
        <v>2167</v>
      </c>
      <c r="B278" s="63" t="s">
        <v>14</v>
      </c>
      <c r="C278" s="63" t="s">
        <v>3225</v>
      </c>
      <c r="D278" s="63" t="s">
        <v>3226</v>
      </c>
      <c r="E278" s="63" t="s">
        <v>3227</v>
      </c>
      <c r="F278" s="63" t="s">
        <v>2203</v>
      </c>
      <c r="G278" s="63" t="s">
        <v>18</v>
      </c>
      <c r="H278" s="63" t="s">
        <v>18</v>
      </c>
      <c r="I278" s="63" t="s">
        <v>704</v>
      </c>
    </row>
    <row r="279" ht="11.25" customHeight="1">
      <c r="A279" s="63" t="s">
        <v>2167</v>
      </c>
      <c r="B279" s="63" t="s">
        <v>14</v>
      </c>
      <c r="C279" s="63" t="s">
        <v>3228</v>
      </c>
      <c r="D279" s="63" t="s">
        <v>3229</v>
      </c>
      <c r="E279" s="63" t="s">
        <v>3230</v>
      </c>
      <c r="F279" s="63" t="s">
        <v>2218</v>
      </c>
      <c r="G279" s="63" t="s">
        <v>3231</v>
      </c>
      <c r="H279" s="63" t="s">
        <v>18</v>
      </c>
      <c r="I279" s="63" t="s">
        <v>704</v>
      </c>
    </row>
    <row r="280" ht="11.25" customHeight="1">
      <c r="A280" s="63" t="s">
        <v>2167</v>
      </c>
      <c r="B280" s="63" t="s">
        <v>14</v>
      </c>
      <c r="C280" s="63" t="s">
        <v>3232</v>
      </c>
      <c r="D280" s="63" t="s">
        <v>3233</v>
      </c>
      <c r="E280" s="63" t="s">
        <v>3234</v>
      </c>
      <c r="F280" s="63" t="s">
        <v>2260</v>
      </c>
      <c r="G280" s="63" t="s">
        <v>18</v>
      </c>
      <c r="H280" s="63" t="s">
        <v>18</v>
      </c>
      <c r="I280" s="63" t="s">
        <v>704</v>
      </c>
    </row>
    <row r="281" ht="11.25" customHeight="1">
      <c r="A281" s="63" t="s">
        <v>2167</v>
      </c>
      <c r="B281" s="63" t="s">
        <v>14</v>
      </c>
      <c r="C281" s="63" t="s">
        <v>3235</v>
      </c>
      <c r="D281" s="63" t="s">
        <v>3236</v>
      </c>
      <c r="E281" s="63" t="s">
        <v>3237</v>
      </c>
      <c r="F281" s="63" t="s">
        <v>2598</v>
      </c>
      <c r="G281" s="63" t="s">
        <v>18</v>
      </c>
      <c r="H281" s="63" t="s">
        <v>18</v>
      </c>
      <c r="I281" s="63" t="s">
        <v>704</v>
      </c>
    </row>
    <row r="282" ht="11.25" customHeight="1">
      <c r="A282" s="63" t="s">
        <v>2167</v>
      </c>
      <c r="B282" s="63" t="s">
        <v>14</v>
      </c>
      <c r="C282" s="63" t="s">
        <v>3238</v>
      </c>
      <c r="D282" s="63" t="s">
        <v>3239</v>
      </c>
      <c r="E282" s="63" t="s">
        <v>3240</v>
      </c>
      <c r="F282" s="63" t="s">
        <v>2218</v>
      </c>
      <c r="G282" s="63" t="s">
        <v>3241</v>
      </c>
      <c r="H282" s="63" t="s">
        <v>18</v>
      </c>
      <c r="I282" s="63" t="s">
        <v>704</v>
      </c>
    </row>
    <row r="283" ht="11.25" customHeight="1">
      <c r="A283" s="63" t="s">
        <v>2167</v>
      </c>
      <c r="B283" s="63" t="s">
        <v>14</v>
      </c>
      <c r="C283" s="63" t="s">
        <v>3242</v>
      </c>
      <c r="D283" s="63" t="s">
        <v>3243</v>
      </c>
      <c r="E283" s="63" t="s">
        <v>3244</v>
      </c>
      <c r="F283" s="63" t="s">
        <v>2311</v>
      </c>
      <c r="G283" s="63" t="s">
        <v>3245</v>
      </c>
      <c r="H283" s="63" t="s">
        <v>18</v>
      </c>
      <c r="I283" s="63" t="s">
        <v>704</v>
      </c>
    </row>
    <row r="284" ht="11.25" customHeight="1">
      <c r="A284" s="63" t="s">
        <v>2167</v>
      </c>
      <c r="B284" s="63" t="s">
        <v>14</v>
      </c>
      <c r="C284" s="63" t="s">
        <v>3246</v>
      </c>
      <c r="D284" s="63" t="s">
        <v>3247</v>
      </c>
      <c r="E284" s="63" t="s">
        <v>3248</v>
      </c>
      <c r="F284" s="63" t="s">
        <v>2176</v>
      </c>
      <c r="G284" s="63" t="s">
        <v>3249</v>
      </c>
      <c r="H284" s="63" t="s">
        <v>18</v>
      </c>
      <c r="I284" s="63" t="s">
        <v>704</v>
      </c>
    </row>
    <row r="285" ht="11.25" customHeight="1">
      <c r="A285" s="63" t="s">
        <v>2167</v>
      </c>
      <c r="B285" s="63" t="s">
        <v>14</v>
      </c>
      <c r="C285" s="63" t="s">
        <v>3250</v>
      </c>
      <c r="D285" s="63" t="s">
        <v>3251</v>
      </c>
      <c r="E285" s="63" t="s">
        <v>3252</v>
      </c>
      <c r="F285" s="63" t="s">
        <v>3253</v>
      </c>
      <c r="G285" s="63" t="s">
        <v>18</v>
      </c>
      <c r="H285" s="63" t="s">
        <v>18</v>
      </c>
      <c r="I285" s="63" t="s">
        <v>704</v>
      </c>
    </row>
    <row r="286" ht="11.25" customHeight="1">
      <c r="A286" s="63" t="s">
        <v>2167</v>
      </c>
      <c r="B286" s="63" t="s">
        <v>14</v>
      </c>
      <c r="C286" s="63" t="s">
        <v>3254</v>
      </c>
      <c r="D286" s="63" t="s">
        <v>3255</v>
      </c>
      <c r="E286" s="63" t="s">
        <v>3256</v>
      </c>
      <c r="F286" s="63" t="s">
        <v>2307</v>
      </c>
      <c r="G286" s="63" t="s">
        <v>3257</v>
      </c>
      <c r="H286" s="63" t="s">
        <v>18</v>
      </c>
      <c r="I286" s="63" t="s">
        <v>704</v>
      </c>
    </row>
    <row r="287" ht="11.25" customHeight="1">
      <c r="A287" s="63" t="s">
        <v>2167</v>
      </c>
      <c r="B287" s="63" t="s">
        <v>14</v>
      </c>
      <c r="C287" s="63" t="s">
        <v>3258</v>
      </c>
      <c r="D287" s="63" t="s">
        <v>3259</v>
      </c>
      <c r="E287" s="63" t="s">
        <v>3260</v>
      </c>
      <c r="F287" s="63" t="s">
        <v>2185</v>
      </c>
      <c r="G287" s="63" t="s">
        <v>18</v>
      </c>
      <c r="H287" s="63" t="s">
        <v>18</v>
      </c>
      <c r="I287" s="63" t="s">
        <v>704</v>
      </c>
    </row>
    <row r="288" ht="11.25" customHeight="1">
      <c r="A288" s="63" t="s">
        <v>2167</v>
      </c>
      <c r="B288" s="63" t="s">
        <v>14</v>
      </c>
      <c r="C288" s="63" t="s">
        <v>3261</v>
      </c>
      <c r="D288" s="63" t="s">
        <v>3262</v>
      </c>
      <c r="E288" s="63" t="s">
        <v>3263</v>
      </c>
      <c r="F288" s="63" t="s">
        <v>2249</v>
      </c>
      <c r="G288" s="63" t="s">
        <v>18</v>
      </c>
      <c r="H288" s="63" t="s">
        <v>18</v>
      </c>
      <c r="I288" s="63" t="s">
        <v>704</v>
      </c>
    </row>
    <row r="289" ht="11.25" customHeight="1">
      <c r="A289" s="63" t="s">
        <v>2167</v>
      </c>
      <c r="B289" s="63" t="s">
        <v>14</v>
      </c>
      <c r="C289" s="63" t="s">
        <v>3264</v>
      </c>
      <c r="D289" s="63" t="s">
        <v>3265</v>
      </c>
      <c r="E289" s="63" t="s">
        <v>3266</v>
      </c>
      <c r="F289" s="63" t="s">
        <v>3267</v>
      </c>
      <c r="G289" s="63" t="s">
        <v>18</v>
      </c>
      <c r="H289" s="63" t="s">
        <v>18</v>
      </c>
      <c r="I289" s="63" t="s">
        <v>704</v>
      </c>
    </row>
    <row r="290" ht="11.25" customHeight="1">
      <c r="A290" s="63" t="s">
        <v>2167</v>
      </c>
      <c r="B290" s="63" t="s">
        <v>14</v>
      </c>
      <c r="C290" s="63" t="s">
        <v>3268</v>
      </c>
      <c r="D290" s="63" t="s">
        <v>3269</v>
      </c>
      <c r="E290" s="63" t="s">
        <v>3270</v>
      </c>
      <c r="F290" s="63" t="s">
        <v>2203</v>
      </c>
      <c r="G290" s="63" t="s">
        <v>18</v>
      </c>
      <c r="H290" s="63" t="s">
        <v>18</v>
      </c>
      <c r="I290" s="63" t="s">
        <v>704</v>
      </c>
    </row>
    <row r="291" ht="11.25" customHeight="1">
      <c r="A291" s="63" t="s">
        <v>2167</v>
      </c>
      <c r="B291" s="63" t="s">
        <v>14</v>
      </c>
      <c r="C291" s="63" t="s">
        <v>3271</v>
      </c>
      <c r="D291" s="63" t="s">
        <v>3272</v>
      </c>
      <c r="E291" s="63" t="s">
        <v>3273</v>
      </c>
      <c r="F291" s="63" t="s">
        <v>3274</v>
      </c>
      <c r="G291" s="63" t="s">
        <v>3275</v>
      </c>
      <c r="H291" s="63" t="s">
        <v>18</v>
      </c>
      <c r="I291" s="63" t="s">
        <v>704</v>
      </c>
    </row>
    <row r="292" ht="11.25" customHeight="1">
      <c r="A292" s="63" t="s">
        <v>2167</v>
      </c>
      <c r="B292" s="63" t="s">
        <v>14</v>
      </c>
      <c r="C292" s="63" t="s">
        <v>3276</v>
      </c>
      <c r="D292" s="63" t="s">
        <v>3277</v>
      </c>
      <c r="E292" s="63" t="s">
        <v>3278</v>
      </c>
      <c r="F292" s="63" t="s">
        <v>3279</v>
      </c>
      <c r="G292" s="63" t="s">
        <v>18</v>
      </c>
      <c r="H292" s="63" t="s">
        <v>18</v>
      </c>
      <c r="I292" s="63" t="s">
        <v>704</v>
      </c>
    </row>
    <row r="293" ht="11.25" customHeight="1">
      <c r="A293" s="63" t="s">
        <v>2167</v>
      </c>
      <c r="B293" s="63" t="s">
        <v>14</v>
      </c>
      <c r="C293" s="63" t="s">
        <v>3280</v>
      </c>
      <c r="D293" s="63" t="s">
        <v>3281</v>
      </c>
      <c r="E293" s="63" t="s">
        <v>3282</v>
      </c>
      <c r="F293" s="63" t="s">
        <v>3283</v>
      </c>
      <c r="G293" s="63" t="s">
        <v>3284</v>
      </c>
      <c r="H293" s="63" t="s">
        <v>18</v>
      </c>
      <c r="I293" s="63" t="s">
        <v>704</v>
      </c>
    </row>
    <row r="294" ht="11.25" customHeight="1">
      <c r="A294" s="63" t="s">
        <v>2167</v>
      </c>
      <c r="B294" s="63" t="s">
        <v>14</v>
      </c>
      <c r="C294" s="63" t="s">
        <v>3285</v>
      </c>
      <c r="D294" s="63" t="s">
        <v>3286</v>
      </c>
      <c r="E294" s="63" t="s">
        <v>3287</v>
      </c>
      <c r="F294" s="63" t="s">
        <v>2283</v>
      </c>
      <c r="G294" s="63" t="s">
        <v>18</v>
      </c>
      <c r="H294" s="63" t="s">
        <v>18</v>
      </c>
      <c r="I294" s="63" t="s">
        <v>704</v>
      </c>
    </row>
    <row r="295" ht="11.25" customHeight="1">
      <c r="A295" s="63" t="s">
        <v>2167</v>
      </c>
      <c r="B295" s="63" t="s">
        <v>14</v>
      </c>
      <c r="C295" s="63" t="s">
        <v>3288</v>
      </c>
      <c r="D295" s="63" t="s">
        <v>3289</v>
      </c>
      <c r="E295" s="63" t="s">
        <v>3290</v>
      </c>
      <c r="F295" s="63" t="s">
        <v>2218</v>
      </c>
      <c r="G295" s="63" t="s">
        <v>3291</v>
      </c>
      <c r="H295" s="63" t="s">
        <v>18</v>
      </c>
      <c r="I295" s="63" t="s">
        <v>704</v>
      </c>
    </row>
    <row r="296" ht="11.25" customHeight="1">
      <c r="A296" s="63" t="s">
        <v>2167</v>
      </c>
      <c r="B296" s="63" t="s">
        <v>14</v>
      </c>
      <c r="C296" s="63" t="s">
        <v>3292</v>
      </c>
      <c r="D296" s="63" t="s">
        <v>3293</v>
      </c>
      <c r="E296" s="63" t="s">
        <v>2352</v>
      </c>
      <c r="F296" s="63" t="s">
        <v>2328</v>
      </c>
      <c r="G296" s="63" t="s">
        <v>2354</v>
      </c>
      <c r="H296" s="63" t="s">
        <v>18</v>
      </c>
      <c r="I296" s="63" t="s">
        <v>704</v>
      </c>
    </row>
    <row r="297" ht="11.25" customHeight="1">
      <c r="A297" s="63" t="s">
        <v>2167</v>
      </c>
      <c r="B297" s="63" t="s">
        <v>14</v>
      </c>
      <c r="C297" s="63" t="s">
        <v>3294</v>
      </c>
      <c r="D297" s="63" t="s">
        <v>3295</v>
      </c>
      <c r="E297" s="63" t="s">
        <v>3296</v>
      </c>
      <c r="F297" s="63" t="s">
        <v>2256</v>
      </c>
      <c r="G297" s="63" t="s">
        <v>18</v>
      </c>
      <c r="H297" s="63" t="s">
        <v>18</v>
      </c>
      <c r="I297" s="63" t="s">
        <v>704</v>
      </c>
    </row>
    <row r="298" ht="11.25" customHeight="1">
      <c r="A298" s="63" t="s">
        <v>2167</v>
      </c>
      <c r="B298" s="63" t="s">
        <v>14</v>
      </c>
      <c r="C298" s="63" t="s">
        <v>3297</v>
      </c>
      <c r="D298" s="63" t="s">
        <v>3298</v>
      </c>
      <c r="E298" s="63" t="s">
        <v>3299</v>
      </c>
      <c r="F298" s="63" t="s">
        <v>2311</v>
      </c>
      <c r="G298" s="63" t="s">
        <v>3300</v>
      </c>
      <c r="H298" s="63" t="s">
        <v>18</v>
      </c>
      <c r="I298" s="63" t="s">
        <v>704</v>
      </c>
    </row>
    <row r="299" ht="11.25" customHeight="1">
      <c r="A299" s="63" t="s">
        <v>2167</v>
      </c>
      <c r="B299" s="63" t="s">
        <v>14</v>
      </c>
      <c r="C299" s="63" t="s">
        <v>3301</v>
      </c>
      <c r="D299" s="63" t="s">
        <v>3302</v>
      </c>
      <c r="E299" s="63" t="s">
        <v>3303</v>
      </c>
      <c r="F299" s="63" t="s">
        <v>2218</v>
      </c>
      <c r="G299" s="63" t="s">
        <v>3304</v>
      </c>
      <c r="H299" s="63" t="s">
        <v>18</v>
      </c>
      <c r="I299" s="63" t="s">
        <v>704</v>
      </c>
    </row>
    <row r="300" ht="11.25" customHeight="1">
      <c r="A300" s="63" t="s">
        <v>2167</v>
      </c>
      <c r="B300" s="63" t="s">
        <v>14</v>
      </c>
      <c r="C300" s="63" t="s">
        <v>3305</v>
      </c>
      <c r="D300" s="63" t="s">
        <v>3306</v>
      </c>
      <c r="E300" s="63" t="s">
        <v>3307</v>
      </c>
      <c r="F300" s="63" t="s">
        <v>2311</v>
      </c>
      <c r="G300" s="63" t="s">
        <v>2385</v>
      </c>
      <c r="H300" s="63" t="s">
        <v>18</v>
      </c>
      <c r="I300" s="63" t="s">
        <v>704</v>
      </c>
    </row>
    <row r="301" ht="11.25" customHeight="1">
      <c r="A301" s="63" t="s">
        <v>2167</v>
      </c>
      <c r="B301" s="63" t="s">
        <v>14</v>
      </c>
      <c r="C301" s="63" t="s">
        <v>3308</v>
      </c>
      <c r="D301" s="63" t="s">
        <v>3309</v>
      </c>
      <c r="E301" s="63" t="s">
        <v>3310</v>
      </c>
      <c r="F301" s="63" t="s">
        <v>2218</v>
      </c>
      <c r="G301" s="63" t="s">
        <v>18</v>
      </c>
      <c r="H301" s="63" t="s">
        <v>18</v>
      </c>
      <c r="I301" s="63" t="s">
        <v>704</v>
      </c>
    </row>
    <row r="302" ht="11.25" customHeight="1">
      <c r="A302" s="63" t="s">
        <v>2167</v>
      </c>
      <c r="B302" s="63" t="s">
        <v>14</v>
      </c>
      <c r="C302" s="63" t="s">
        <v>3311</v>
      </c>
      <c r="D302" s="63" t="s">
        <v>3312</v>
      </c>
      <c r="E302" s="63" t="s">
        <v>3313</v>
      </c>
      <c r="F302" s="63" t="s">
        <v>2210</v>
      </c>
      <c r="G302" s="63" t="s">
        <v>18</v>
      </c>
      <c r="H302" s="63" t="s">
        <v>18</v>
      </c>
      <c r="I302" s="63" t="s">
        <v>704</v>
      </c>
    </row>
    <row r="303" ht="11.25" customHeight="1">
      <c r="A303" s="63" t="s">
        <v>2167</v>
      </c>
      <c r="B303" s="63" t="s">
        <v>14</v>
      </c>
      <c r="C303" s="63" t="s">
        <v>3314</v>
      </c>
      <c r="D303" s="63" t="s">
        <v>3315</v>
      </c>
      <c r="E303" s="63" t="s">
        <v>3316</v>
      </c>
      <c r="F303" s="63" t="s">
        <v>2222</v>
      </c>
      <c r="G303" s="63" t="s">
        <v>18</v>
      </c>
      <c r="H303" s="63" t="s">
        <v>18</v>
      </c>
      <c r="I303" s="63" t="s">
        <v>704</v>
      </c>
    </row>
    <row r="304" ht="11.25" customHeight="1">
      <c r="A304" s="63" t="s">
        <v>2167</v>
      </c>
      <c r="B304" s="63" t="s">
        <v>14</v>
      </c>
      <c r="C304" s="63" t="s">
        <v>3317</v>
      </c>
      <c r="D304" s="63" t="s">
        <v>3318</v>
      </c>
      <c r="E304" s="63" t="s">
        <v>3319</v>
      </c>
      <c r="F304" s="63" t="s">
        <v>2291</v>
      </c>
      <c r="G304" s="63" t="s">
        <v>18</v>
      </c>
      <c r="H304" s="63" t="s">
        <v>18</v>
      </c>
      <c r="I304" s="63" t="s">
        <v>704</v>
      </c>
    </row>
    <row r="305" ht="11.25" customHeight="1">
      <c r="A305" s="63" t="s">
        <v>2167</v>
      </c>
      <c r="B305" s="63" t="s">
        <v>14</v>
      </c>
      <c r="C305" s="63" t="s">
        <v>3320</v>
      </c>
      <c r="D305" s="63" t="s">
        <v>3321</v>
      </c>
      <c r="E305" s="63" t="s">
        <v>3322</v>
      </c>
      <c r="F305" s="63" t="s">
        <v>3323</v>
      </c>
      <c r="G305" s="63" t="s">
        <v>18</v>
      </c>
      <c r="H305" s="63" t="s">
        <v>18</v>
      </c>
      <c r="I305" s="63" t="s">
        <v>704</v>
      </c>
    </row>
    <row r="306" ht="11.25" customHeight="1">
      <c r="A306" s="63" t="s">
        <v>2167</v>
      </c>
      <c r="B306" s="63" t="s">
        <v>14</v>
      </c>
      <c r="C306" s="63" t="s">
        <v>3324</v>
      </c>
      <c r="D306" s="63" t="s">
        <v>3325</v>
      </c>
      <c r="E306" s="63" t="s">
        <v>3326</v>
      </c>
      <c r="F306" s="63" t="s">
        <v>2283</v>
      </c>
      <c r="G306" s="63" t="s">
        <v>3327</v>
      </c>
      <c r="H306" s="63" t="s">
        <v>18</v>
      </c>
      <c r="I306" s="63" t="s">
        <v>704</v>
      </c>
    </row>
    <row r="307" ht="11.25" customHeight="1">
      <c r="A307" s="63" t="s">
        <v>2167</v>
      </c>
      <c r="B307" s="63" t="s">
        <v>14</v>
      </c>
      <c r="C307" s="63" t="s">
        <v>3328</v>
      </c>
      <c r="D307" s="63" t="s">
        <v>3329</v>
      </c>
      <c r="E307" s="63" t="s">
        <v>3330</v>
      </c>
      <c r="F307" s="63" t="s">
        <v>2307</v>
      </c>
      <c r="G307" s="63" t="s">
        <v>3331</v>
      </c>
      <c r="H307" s="63" t="s">
        <v>18</v>
      </c>
      <c r="I307" s="63" t="s">
        <v>704</v>
      </c>
    </row>
    <row r="308" ht="11.25" customHeight="1">
      <c r="A308" s="63" t="s">
        <v>2167</v>
      </c>
      <c r="B308" s="63" t="s">
        <v>14</v>
      </c>
      <c r="C308" s="63" t="s">
        <v>3332</v>
      </c>
      <c r="D308" s="63" t="s">
        <v>3333</v>
      </c>
      <c r="E308" s="63" t="s">
        <v>3334</v>
      </c>
      <c r="F308" s="63" t="s">
        <v>2291</v>
      </c>
      <c r="G308" s="63" t="s">
        <v>18</v>
      </c>
      <c r="H308" s="63" t="s">
        <v>18</v>
      </c>
      <c r="I308" s="63" t="s">
        <v>704</v>
      </c>
    </row>
    <row r="309" ht="11.25" customHeight="1">
      <c r="A309" s="63" t="s">
        <v>2167</v>
      </c>
      <c r="B309" s="63" t="s">
        <v>14</v>
      </c>
      <c r="C309" s="63" t="s">
        <v>3335</v>
      </c>
      <c r="D309" s="63" t="s">
        <v>3336</v>
      </c>
      <c r="E309" s="63" t="s">
        <v>3337</v>
      </c>
      <c r="F309" s="63" t="s">
        <v>2311</v>
      </c>
      <c r="G309" s="63" t="s">
        <v>3338</v>
      </c>
      <c r="H309" s="63" t="s">
        <v>18</v>
      </c>
      <c r="I309" s="63" t="s">
        <v>704</v>
      </c>
    </row>
    <row r="310" ht="11.25" customHeight="1">
      <c r="A310" s="63" t="s">
        <v>2167</v>
      </c>
      <c r="B310" s="63" t="s">
        <v>14</v>
      </c>
      <c r="C310" s="63" t="s">
        <v>3339</v>
      </c>
      <c r="D310" s="63" t="s">
        <v>3340</v>
      </c>
      <c r="E310" s="63" t="s">
        <v>3341</v>
      </c>
      <c r="F310" s="63" t="s">
        <v>2218</v>
      </c>
      <c r="G310" s="63" t="s">
        <v>3342</v>
      </c>
      <c r="H310" s="63" t="s">
        <v>18</v>
      </c>
      <c r="I310" s="63" t="s">
        <v>704</v>
      </c>
    </row>
    <row r="311" ht="11.25" customHeight="1">
      <c r="A311" s="63" t="s">
        <v>2167</v>
      </c>
      <c r="B311" s="63" t="s">
        <v>14</v>
      </c>
      <c r="C311" s="63" t="s">
        <v>3343</v>
      </c>
      <c r="D311" s="63" t="s">
        <v>3344</v>
      </c>
      <c r="E311" s="63" t="s">
        <v>3345</v>
      </c>
      <c r="F311" s="63" t="s">
        <v>2413</v>
      </c>
      <c r="G311" s="63" t="s">
        <v>3346</v>
      </c>
      <c r="H311" s="63" t="s">
        <v>18</v>
      </c>
      <c r="I311" s="63" t="s">
        <v>704</v>
      </c>
    </row>
    <row r="312" ht="11.25" customHeight="1">
      <c r="A312" s="63" t="s">
        <v>2167</v>
      </c>
      <c r="B312" s="63" t="s">
        <v>14</v>
      </c>
      <c r="C312" s="63" t="s">
        <v>3347</v>
      </c>
      <c r="D312" s="63" t="s">
        <v>3348</v>
      </c>
      <c r="E312" s="63" t="s">
        <v>3349</v>
      </c>
      <c r="F312" s="63" t="s">
        <v>2283</v>
      </c>
      <c r="G312" s="63" t="s">
        <v>18</v>
      </c>
      <c r="H312" s="63" t="s">
        <v>18</v>
      </c>
      <c r="I312" s="63" t="s">
        <v>704</v>
      </c>
    </row>
    <row r="313" ht="11.25" customHeight="1">
      <c r="A313" s="63" t="s">
        <v>2167</v>
      </c>
      <c r="B313" s="63" t="s">
        <v>14</v>
      </c>
      <c r="C313" s="63" t="s">
        <v>3350</v>
      </c>
      <c r="D313" s="63" t="s">
        <v>3351</v>
      </c>
      <c r="E313" s="63" t="s">
        <v>3352</v>
      </c>
      <c r="F313" s="63" t="s">
        <v>2269</v>
      </c>
      <c r="G313" s="63" t="s">
        <v>18</v>
      </c>
      <c r="H313" s="63" t="s">
        <v>18</v>
      </c>
      <c r="I313" s="63" t="s">
        <v>704</v>
      </c>
    </row>
    <row r="314" ht="11.25" customHeight="1">
      <c r="A314" s="63" t="s">
        <v>2167</v>
      </c>
      <c r="B314" s="63" t="s">
        <v>14</v>
      </c>
      <c r="C314" s="63" t="s">
        <v>3353</v>
      </c>
      <c r="D314" s="63" t="s">
        <v>3354</v>
      </c>
      <c r="E314" s="63" t="s">
        <v>3355</v>
      </c>
      <c r="F314" s="63" t="s">
        <v>2283</v>
      </c>
      <c r="G314" s="63" t="s">
        <v>18</v>
      </c>
      <c r="H314" s="63" t="s">
        <v>18</v>
      </c>
      <c r="I314" s="63" t="s">
        <v>704</v>
      </c>
    </row>
    <row r="315" ht="11.25" customHeight="1">
      <c r="A315" s="63" t="s">
        <v>2167</v>
      </c>
      <c r="B315" s="63" t="s">
        <v>14</v>
      </c>
      <c r="C315" s="63" t="s">
        <v>3356</v>
      </c>
      <c r="D315" s="63" t="s">
        <v>3357</v>
      </c>
      <c r="E315" s="63" t="s">
        <v>3358</v>
      </c>
      <c r="F315" s="63" t="s">
        <v>2283</v>
      </c>
      <c r="G315" s="63" t="s">
        <v>18</v>
      </c>
      <c r="H315" s="63" t="s">
        <v>18</v>
      </c>
      <c r="I315" s="63" t="s">
        <v>704</v>
      </c>
    </row>
    <row r="316" ht="11.25" customHeight="1">
      <c r="A316" s="63" t="s">
        <v>2167</v>
      </c>
      <c r="B316" s="63" t="s">
        <v>14</v>
      </c>
      <c r="C316" s="63" t="s">
        <v>3359</v>
      </c>
      <c r="D316" s="63" t="s">
        <v>3360</v>
      </c>
      <c r="E316" s="63" t="s">
        <v>3361</v>
      </c>
      <c r="F316" s="63" t="s">
        <v>2311</v>
      </c>
      <c r="G316" s="63" t="s">
        <v>3362</v>
      </c>
      <c r="H316" s="63" t="s">
        <v>18</v>
      </c>
      <c r="I316" s="63" t="s">
        <v>704</v>
      </c>
    </row>
    <row r="317" ht="11.25" customHeight="1">
      <c r="A317" s="63" t="s">
        <v>2167</v>
      </c>
      <c r="B317" s="63" t="s">
        <v>14</v>
      </c>
      <c r="C317" s="63" t="s">
        <v>3363</v>
      </c>
      <c r="D317" s="63" t="s">
        <v>3364</v>
      </c>
      <c r="E317" s="63" t="s">
        <v>2766</v>
      </c>
      <c r="F317" s="63" t="s">
        <v>2328</v>
      </c>
      <c r="G317" s="63" t="s">
        <v>3365</v>
      </c>
      <c r="H317" s="63" t="s">
        <v>18</v>
      </c>
      <c r="I317" s="63" t="s">
        <v>704</v>
      </c>
    </row>
    <row r="318" ht="11.25" customHeight="1">
      <c r="A318" s="63" t="s">
        <v>2167</v>
      </c>
      <c r="B318" s="63" t="s">
        <v>14</v>
      </c>
      <c r="C318" s="63" t="s">
        <v>3366</v>
      </c>
      <c r="D318" s="63" t="s">
        <v>3367</v>
      </c>
      <c r="E318" s="63" t="s">
        <v>2992</v>
      </c>
      <c r="F318" s="63" t="s">
        <v>3368</v>
      </c>
      <c r="G318" s="63" t="s">
        <v>3369</v>
      </c>
      <c r="H318" s="63" t="s">
        <v>18</v>
      </c>
      <c r="I318" s="63" t="s">
        <v>704</v>
      </c>
    </row>
    <row r="319" ht="11.25" customHeight="1">
      <c r="A319" s="63" t="s">
        <v>2167</v>
      </c>
      <c r="B319" s="63" t="s">
        <v>14</v>
      </c>
      <c r="C319" s="63" t="s">
        <v>3370</v>
      </c>
      <c r="D319" s="63" t="s">
        <v>3371</v>
      </c>
      <c r="E319" s="63" t="s">
        <v>2766</v>
      </c>
      <c r="F319" s="63" t="s">
        <v>3372</v>
      </c>
      <c r="G319" s="63" t="s">
        <v>3373</v>
      </c>
      <c r="H319" s="63" t="s">
        <v>18</v>
      </c>
      <c r="I319" s="63" t="s">
        <v>704</v>
      </c>
    </row>
    <row r="320" ht="11.25" customHeight="1">
      <c r="A320" s="63" t="s">
        <v>2167</v>
      </c>
      <c r="B320" s="63" t="s">
        <v>14</v>
      </c>
      <c r="C320" s="63" t="s">
        <v>3374</v>
      </c>
      <c r="D320" s="63" t="s">
        <v>3375</v>
      </c>
      <c r="E320" s="63" t="s">
        <v>3157</v>
      </c>
      <c r="F320" s="63" t="s">
        <v>3372</v>
      </c>
      <c r="G320" s="63" t="s">
        <v>3376</v>
      </c>
      <c r="H320" s="63" t="s">
        <v>18</v>
      </c>
      <c r="I320" s="63" t="s">
        <v>704</v>
      </c>
    </row>
    <row r="321" ht="11.25" customHeight="1">
      <c r="A321" s="63" t="s">
        <v>2167</v>
      </c>
      <c r="B321" s="63" t="s">
        <v>14</v>
      </c>
      <c r="C321" s="63" t="s">
        <v>3377</v>
      </c>
      <c r="D321" s="63" t="s">
        <v>3378</v>
      </c>
      <c r="E321" s="63" t="s">
        <v>3252</v>
      </c>
      <c r="F321" s="63" t="s">
        <v>2249</v>
      </c>
      <c r="G321" s="63" t="s">
        <v>18</v>
      </c>
      <c r="H321" s="63" t="s">
        <v>18</v>
      </c>
      <c r="I321" s="63" t="s">
        <v>704</v>
      </c>
    </row>
    <row r="322" ht="11.25" customHeight="1">
      <c r="A322" s="63" t="s">
        <v>2167</v>
      </c>
      <c r="B322" s="63" t="s">
        <v>14</v>
      </c>
      <c r="C322" s="63" t="s">
        <v>3379</v>
      </c>
      <c r="D322" s="63" t="s">
        <v>3380</v>
      </c>
      <c r="E322" s="63" t="s">
        <v>3381</v>
      </c>
      <c r="F322" s="63" t="s">
        <v>3382</v>
      </c>
      <c r="G322" s="63" t="s">
        <v>18</v>
      </c>
      <c r="H322" s="63" t="s">
        <v>18</v>
      </c>
      <c r="I322" s="63" t="s">
        <v>704</v>
      </c>
    </row>
    <row r="323" ht="11.25" customHeight="1">
      <c r="A323" s="63" t="s">
        <v>2167</v>
      </c>
      <c r="B323" s="63" t="s">
        <v>14</v>
      </c>
      <c r="C323" s="63" t="s">
        <v>3383</v>
      </c>
      <c r="D323" s="63" t="s">
        <v>3384</v>
      </c>
      <c r="E323" s="63" t="s">
        <v>3385</v>
      </c>
      <c r="F323" s="63" t="s">
        <v>3386</v>
      </c>
      <c r="G323" s="63" t="s">
        <v>3387</v>
      </c>
      <c r="H323" s="63" t="s">
        <v>18</v>
      </c>
      <c r="I323" s="63" t="s">
        <v>704</v>
      </c>
    </row>
    <row r="324" ht="11.25" customHeight="1">
      <c r="A324" s="63" t="s">
        <v>2167</v>
      </c>
      <c r="B324" s="63" t="s">
        <v>14</v>
      </c>
      <c r="C324" s="63" t="s">
        <v>3388</v>
      </c>
      <c r="D324" s="63" t="s">
        <v>3389</v>
      </c>
      <c r="E324" s="63" t="s">
        <v>3385</v>
      </c>
      <c r="F324" s="63" t="s">
        <v>2457</v>
      </c>
      <c r="G324" s="63" t="s">
        <v>18</v>
      </c>
      <c r="H324" s="63" t="s">
        <v>18</v>
      </c>
      <c r="I324" s="63" t="s">
        <v>704</v>
      </c>
    </row>
    <row r="325" ht="11.25" customHeight="1">
      <c r="A325" s="63" t="s">
        <v>2167</v>
      </c>
      <c r="B325" s="63" t="s">
        <v>14</v>
      </c>
      <c r="C325" s="63" t="s">
        <v>3390</v>
      </c>
      <c r="D325" s="63" t="s">
        <v>3391</v>
      </c>
      <c r="E325" s="63" t="s">
        <v>3385</v>
      </c>
      <c r="F325" s="63" t="s">
        <v>3392</v>
      </c>
      <c r="G325" s="63" t="s">
        <v>3393</v>
      </c>
      <c r="H325" s="63" t="s">
        <v>18</v>
      </c>
      <c r="I325" s="63" t="s">
        <v>704</v>
      </c>
    </row>
    <row r="326" ht="11.25" customHeight="1">
      <c r="A326" s="63" t="s">
        <v>2167</v>
      </c>
      <c r="B326" s="63" t="s">
        <v>14</v>
      </c>
      <c r="C326" s="63" t="s">
        <v>3394</v>
      </c>
      <c r="D326" s="63" t="s">
        <v>3395</v>
      </c>
      <c r="E326" s="63" t="s">
        <v>2325</v>
      </c>
      <c r="F326" s="63" t="s">
        <v>2598</v>
      </c>
      <c r="G326" s="63" t="s">
        <v>18</v>
      </c>
      <c r="H326" s="63" t="s">
        <v>18</v>
      </c>
      <c r="I326" s="63" t="s">
        <v>704</v>
      </c>
    </row>
    <row r="327" ht="11.25" customHeight="1">
      <c r="A327" s="63" t="s">
        <v>2167</v>
      </c>
      <c r="B327" s="63" t="s">
        <v>14</v>
      </c>
      <c r="C327" s="63" t="s">
        <v>3396</v>
      </c>
      <c r="D327" s="63" t="s">
        <v>3397</v>
      </c>
      <c r="E327" s="63" t="s">
        <v>2325</v>
      </c>
      <c r="F327" s="63" t="s">
        <v>3398</v>
      </c>
      <c r="G327" s="63" t="s">
        <v>18</v>
      </c>
      <c r="H327" s="63" t="s">
        <v>18</v>
      </c>
      <c r="I327" s="63" t="s">
        <v>704</v>
      </c>
    </row>
    <row r="328" ht="11.25" customHeight="1">
      <c r="A328" s="63" t="s">
        <v>2167</v>
      </c>
      <c r="B328" s="63" t="s">
        <v>14</v>
      </c>
      <c r="C328" s="63" t="s">
        <v>3399</v>
      </c>
      <c r="D328" s="63" t="s">
        <v>3400</v>
      </c>
      <c r="E328" s="63" t="s">
        <v>3401</v>
      </c>
      <c r="F328" s="63" t="s">
        <v>3402</v>
      </c>
      <c r="G328" s="63" t="s">
        <v>3403</v>
      </c>
      <c r="H328" s="63" t="s">
        <v>18</v>
      </c>
      <c r="I328" s="63" t="s">
        <v>704</v>
      </c>
    </row>
    <row r="329" ht="11.25" customHeight="1">
      <c r="A329" s="63" t="s">
        <v>2167</v>
      </c>
      <c r="B329" s="63" t="s">
        <v>14</v>
      </c>
      <c r="C329" s="63" t="s">
        <v>3404</v>
      </c>
      <c r="D329" s="63" t="s">
        <v>3405</v>
      </c>
      <c r="E329" s="63" t="s">
        <v>2853</v>
      </c>
      <c r="F329" s="63" t="s">
        <v>3406</v>
      </c>
      <c r="G329" s="63" t="s">
        <v>18</v>
      </c>
      <c r="H329" s="63" t="s">
        <v>18</v>
      </c>
      <c r="I329" s="63" t="s">
        <v>704</v>
      </c>
    </row>
    <row r="330" ht="11.25" customHeight="1">
      <c r="A330" s="63" t="s">
        <v>2167</v>
      </c>
      <c r="B330" s="63" t="s">
        <v>14</v>
      </c>
      <c r="C330" s="63" t="s">
        <v>3407</v>
      </c>
      <c r="D330" s="63" t="s">
        <v>3408</v>
      </c>
      <c r="E330" s="63" t="s">
        <v>2911</v>
      </c>
      <c r="F330" s="63" t="s">
        <v>2348</v>
      </c>
      <c r="G330" s="63" t="s">
        <v>3409</v>
      </c>
      <c r="H330" s="63" t="s">
        <v>18</v>
      </c>
      <c r="I330" s="63" t="s">
        <v>704</v>
      </c>
    </row>
    <row r="331" ht="11.25" customHeight="1">
      <c r="A331" s="63" t="s">
        <v>2167</v>
      </c>
      <c r="B331" s="63" t="s">
        <v>14</v>
      </c>
      <c r="C331" s="63" t="s">
        <v>3410</v>
      </c>
      <c r="D331" s="63" t="s">
        <v>3411</v>
      </c>
      <c r="E331" s="63" t="s">
        <v>2911</v>
      </c>
      <c r="F331" s="63" t="s">
        <v>3412</v>
      </c>
      <c r="G331" s="63" t="s">
        <v>3413</v>
      </c>
      <c r="H331" s="63" t="s">
        <v>18</v>
      </c>
      <c r="I331" s="63" t="s">
        <v>704</v>
      </c>
    </row>
    <row r="332" ht="11.25" customHeight="1">
      <c r="A332" s="63" t="s">
        <v>2167</v>
      </c>
      <c r="B332" s="63" t="s">
        <v>14</v>
      </c>
      <c r="C332" s="63" t="s">
        <v>3414</v>
      </c>
      <c r="D332" s="63" t="s">
        <v>3415</v>
      </c>
      <c r="E332" s="63" t="s">
        <v>3416</v>
      </c>
      <c r="F332" s="63" t="s">
        <v>3417</v>
      </c>
      <c r="G332" s="63" t="s">
        <v>18</v>
      </c>
      <c r="H332" s="63" t="s">
        <v>18</v>
      </c>
      <c r="I332" s="63" t="s">
        <v>704</v>
      </c>
    </row>
    <row r="333" ht="11.25" customHeight="1">
      <c r="A333" s="63" t="s">
        <v>2167</v>
      </c>
      <c r="B333" s="63" t="s">
        <v>14</v>
      </c>
      <c r="C333" s="63" t="s">
        <v>3418</v>
      </c>
      <c r="D333" s="63" t="s">
        <v>3419</v>
      </c>
      <c r="E333" s="63" t="s">
        <v>3157</v>
      </c>
      <c r="F333" s="63" t="s">
        <v>3420</v>
      </c>
      <c r="G333" s="63" t="s">
        <v>3159</v>
      </c>
      <c r="H333" s="63" t="s">
        <v>18</v>
      </c>
      <c r="I333" s="63" t="s">
        <v>704</v>
      </c>
    </row>
    <row r="334" ht="11.25" customHeight="1">
      <c r="A334" s="63" t="s">
        <v>2167</v>
      </c>
      <c r="B334" s="63" t="s">
        <v>14</v>
      </c>
      <c r="C334" s="63" t="s">
        <v>3421</v>
      </c>
      <c r="D334" s="63" t="s">
        <v>3422</v>
      </c>
      <c r="E334" s="63" t="s">
        <v>2766</v>
      </c>
      <c r="F334" s="63" t="s">
        <v>2276</v>
      </c>
      <c r="G334" s="63" t="s">
        <v>18</v>
      </c>
      <c r="H334" s="63" t="s">
        <v>18</v>
      </c>
      <c r="I334" s="63" t="s">
        <v>704</v>
      </c>
    </row>
    <row r="335" ht="11.25" customHeight="1">
      <c r="A335" s="63" t="s">
        <v>2167</v>
      </c>
      <c r="B335" s="63" t="s">
        <v>14</v>
      </c>
      <c r="C335" s="63" t="s">
        <v>3423</v>
      </c>
      <c r="D335" s="63" t="s">
        <v>3424</v>
      </c>
      <c r="E335" s="63" t="s">
        <v>2206</v>
      </c>
      <c r="F335" s="63" t="s">
        <v>3425</v>
      </c>
      <c r="G335" s="63" t="s">
        <v>18</v>
      </c>
      <c r="H335" s="63" t="s">
        <v>18</v>
      </c>
      <c r="I335" s="63" t="s">
        <v>704</v>
      </c>
    </row>
    <row r="336" ht="11.25" customHeight="1">
      <c r="A336" s="63" t="s">
        <v>2167</v>
      </c>
      <c r="B336" s="63" t="s">
        <v>14</v>
      </c>
      <c r="C336" s="63" t="s">
        <v>3426</v>
      </c>
      <c r="D336" s="63" t="s">
        <v>3427</v>
      </c>
      <c r="E336" s="63" t="s">
        <v>3385</v>
      </c>
      <c r="F336" s="63" t="s">
        <v>2701</v>
      </c>
      <c r="G336" s="63" t="s">
        <v>18</v>
      </c>
      <c r="H336" s="63" t="s">
        <v>18</v>
      </c>
      <c r="I336" s="63" t="s">
        <v>704</v>
      </c>
    </row>
    <row r="337" ht="11.25" customHeight="1">
      <c r="A337" s="63" t="s">
        <v>2167</v>
      </c>
      <c r="B337" s="63" t="s">
        <v>14</v>
      </c>
      <c r="C337" s="63" t="s">
        <v>3428</v>
      </c>
      <c r="D337" s="63" t="s">
        <v>3429</v>
      </c>
      <c r="E337" s="63" t="s">
        <v>3385</v>
      </c>
      <c r="F337" s="63" t="s">
        <v>3430</v>
      </c>
      <c r="G337" s="63" t="s">
        <v>3431</v>
      </c>
      <c r="H337" s="63" t="s">
        <v>18</v>
      </c>
      <c r="I337" s="63" t="s">
        <v>704</v>
      </c>
    </row>
    <row r="338" ht="11.25" customHeight="1">
      <c r="A338" s="63" t="s">
        <v>2167</v>
      </c>
      <c r="B338" s="63" t="s">
        <v>14</v>
      </c>
      <c r="C338" s="63" t="s">
        <v>3432</v>
      </c>
      <c r="D338" s="63" t="s">
        <v>3433</v>
      </c>
      <c r="E338" s="63" t="s">
        <v>2279</v>
      </c>
      <c r="F338" s="63" t="s">
        <v>3434</v>
      </c>
      <c r="G338" s="63" t="s">
        <v>18</v>
      </c>
      <c r="H338" s="63" t="s">
        <v>18</v>
      </c>
      <c r="I338" s="63" t="s">
        <v>704</v>
      </c>
    </row>
    <row r="339" ht="11.25" customHeight="1">
      <c r="A339" s="63" t="s">
        <v>2167</v>
      </c>
      <c r="B339" s="63" t="s">
        <v>14</v>
      </c>
      <c r="C339" s="63" t="s">
        <v>3435</v>
      </c>
      <c r="D339" s="63" t="s">
        <v>3436</v>
      </c>
      <c r="E339" s="63" t="s">
        <v>2911</v>
      </c>
      <c r="F339" s="63" t="s">
        <v>2353</v>
      </c>
      <c r="G339" s="63" t="s">
        <v>3437</v>
      </c>
      <c r="H339" s="63" t="s">
        <v>18</v>
      </c>
      <c r="I339" s="63" t="s">
        <v>704</v>
      </c>
    </row>
    <row r="340" ht="11.25" customHeight="1">
      <c r="A340" s="63" t="s">
        <v>2167</v>
      </c>
      <c r="B340" s="63" t="s">
        <v>14</v>
      </c>
      <c r="C340" s="63" t="s">
        <v>3438</v>
      </c>
      <c r="D340" s="63" t="s">
        <v>3439</v>
      </c>
      <c r="E340" s="63" t="s">
        <v>3440</v>
      </c>
      <c r="F340" s="63" t="s">
        <v>3441</v>
      </c>
      <c r="G340" s="63" t="s">
        <v>3442</v>
      </c>
      <c r="H340" s="63" t="s">
        <v>18</v>
      </c>
      <c r="I340" s="63" t="s">
        <v>704</v>
      </c>
    </row>
    <row r="341" ht="11.25" customHeight="1">
      <c r="A341" s="63" t="s">
        <v>2167</v>
      </c>
      <c r="B341" s="63" t="s">
        <v>14</v>
      </c>
      <c r="C341" s="63" t="s">
        <v>3443</v>
      </c>
      <c r="D341" s="63" t="s">
        <v>43</v>
      </c>
      <c r="E341" s="63" t="s">
        <v>46</v>
      </c>
      <c r="F341" s="63" t="s">
        <v>48</v>
      </c>
      <c r="G341" s="63" t="s">
        <v>18</v>
      </c>
      <c r="H341" s="63" t="s">
        <v>18</v>
      </c>
      <c r="I341" s="63" t="s">
        <v>704</v>
      </c>
    </row>
    <row r="342" ht="11.25" customHeight="1">
      <c r="A342" s="63" t="s">
        <v>2167</v>
      </c>
      <c r="B342" s="63" t="s">
        <v>14</v>
      </c>
      <c r="C342" s="63" t="s">
        <v>2177</v>
      </c>
      <c r="D342" s="63" t="s">
        <v>2178</v>
      </c>
      <c r="E342" s="63" t="s">
        <v>2179</v>
      </c>
      <c r="F342" s="63" t="s">
        <v>2180</v>
      </c>
      <c r="G342" s="63" t="s">
        <v>2181</v>
      </c>
      <c r="H342" s="63" t="s">
        <v>18</v>
      </c>
      <c r="I342" s="63" t="s">
        <v>788</v>
      </c>
    </row>
    <row r="343" ht="11.25" customHeight="1">
      <c r="A343" s="63" t="s">
        <v>2167</v>
      </c>
      <c r="B343" s="63" t="s">
        <v>14</v>
      </c>
      <c r="C343" s="63" t="s">
        <v>2196</v>
      </c>
      <c r="D343" s="63" t="s">
        <v>2197</v>
      </c>
      <c r="E343" s="63" t="s">
        <v>2198</v>
      </c>
      <c r="F343" s="63" t="s">
        <v>2199</v>
      </c>
      <c r="G343" s="63" t="s">
        <v>18</v>
      </c>
      <c r="H343" s="63" t="s">
        <v>18</v>
      </c>
      <c r="I343" s="63" t="s">
        <v>788</v>
      </c>
    </row>
    <row r="344" ht="11.25" customHeight="1">
      <c r="A344" s="63" t="s">
        <v>2167</v>
      </c>
      <c r="B344" s="63" t="s">
        <v>14</v>
      </c>
      <c r="C344" s="63" t="s">
        <v>2219</v>
      </c>
      <c r="D344" s="63" t="s">
        <v>2220</v>
      </c>
      <c r="E344" s="63" t="s">
        <v>2221</v>
      </c>
      <c r="F344" s="63" t="s">
        <v>2222</v>
      </c>
      <c r="G344" s="63" t="s">
        <v>18</v>
      </c>
      <c r="H344" s="63" t="s">
        <v>18</v>
      </c>
      <c r="I344" s="63" t="s">
        <v>788</v>
      </c>
    </row>
    <row r="345" ht="11.25" customHeight="1">
      <c r="A345" s="63" t="s">
        <v>2167</v>
      </c>
      <c r="B345" s="63" t="s">
        <v>14</v>
      </c>
      <c r="C345" s="63" t="s">
        <v>2223</v>
      </c>
      <c r="D345" s="63" t="s">
        <v>2224</v>
      </c>
      <c r="E345" s="63" t="s">
        <v>2225</v>
      </c>
      <c r="F345" s="63" t="s">
        <v>2210</v>
      </c>
      <c r="G345" s="63" t="s">
        <v>18</v>
      </c>
      <c r="H345" s="63" t="s">
        <v>18</v>
      </c>
      <c r="I345" s="63" t="s">
        <v>788</v>
      </c>
    </row>
    <row r="346" ht="11.25" customHeight="1">
      <c r="A346" s="63" t="s">
        <v>2167</v>
      </c>
      <c r="B346" s="63" t="s">
        <v>14</v>
      </c>
      <c r="C346" s="63" t="s">
        <v>2226</v>
      </c>
      <c r="D346" s="63" t="s">
        <v>2227</v>
      </c>
      <c r="E346" s="63" t="s">
        <v>2228</v>
      </c>
      <c r="F346" s="63" t="s">
        <v>2171</v>
      </c>
      <c r="G346" s="63" t="s">
        <v>2229</v>
      </c>
      <c r="H346" s="63" t="s">
        <v>18</v>
      </c>
      <c r="I346" s="63" t="s">
        <v>788</v>
      </c>
    </row>
    <row r="347" ht="11.25" customHeight="1">
      <c r="A347" s="63" t="s">
        <v>2167</v>
      </c>
      <c r="B347" s="63" t="s">
        <v>14</v>
      </c>
      <c r="C347" s="63" t="s">
        <v>2230</v>
      </c>
      <c r="D347" s="63" t="s">
        <v>2231</v>
      </c>
      <c r="E347" s="63" t="s">
        <v>2232</v>
      </c>
      <c r="F347" s="63" t="s">
        <v>2190</v>
      </c>
      <c r="G347" s="63" t="s">
        <v>18</v>
      </c>
      <c r="H347" s="63" t="s">
        <v>18</v>
      </c>
      <c r="I347" s="63" t="s">
        <v>788</v>
      </c>
    </row>
    <row r="348" ht="11.25" customHeight="1">
      <c r="A348" s="63" t="s">
        <v>2167</v>
      </c>
      <c r="B348" s="63" t="s">
        <v>14</v>
      </c>
      <c r="C348" s="63" t="s">
        <v>2266</v>
      </c>
      <c r="D348" s="63" t="s">
        <v>2267</v>
      </c>
      <c r="E348" s="63" t="s">
        <v>2268</v>
      </c>
      <c r="F348" s="63" t="s">
        <v>2269</v>
      </c>
      <c r="G348" s="63" t="s">
        <v>18</v>
      </c>
      <c r="H348" s="63" t="s">
        <v>18</v>
      </c>
      <c r="I348" s="63" t="s">
        <v>788</v>
      </c>
    </row>
    <row r="349" ht="11.25" customHeight="1">
      <c r="A349" s="63" t="s">
        <v>2167</v>
      </c>
      <c r="B349" s="63" t="s">
        <v>14</v>
      </c>
      <c r="C349" s="63" t="s">
        <v>2270</v>
      </c>
      <c r="D349" s="63" t="s">
        <v>2271</v>
      </c>
      <c r="E349" s="63" t="s">
        <v>2272</v>
      </c>
      <c r="F349" s="63" t="s">
        <v>2249</v>
      </c>
      <c r="G349" s="63" t="s">
        <v>18</v>
      </c>
      <c r="H349" s="63" t="s">
        <v>18</v>
      </c>
      <c r="I349" s="63" t="s">
        <v>788</v>
      </c>
    </row>
    <row r="350" ht="11.25" customHeight="1">
      <c r="A350" s="63" t="s">
        <v>2167</v>
      </c>
      <c r="B350" s="63" t="s">
        <v>14</v>
      </c>
      <c r="C350" s="63" t="s">
        <v>2277</v>
      </c>
      <c r="D350" s="63" t="s">
        <v>2278</v>
      </c>
      <c r="E350" s="63" t="s">
        <v>2279</v>
      </c>
      <c r="F350" s="63" t="s">
        <v>2210</v>
      </c>
      <c r="G350" s="63" t="s">
        <v>18</v>
      </c>
      <c r="H350" s="63" t="s">
        <v>18</v>
      </c>
      <c r="I350" s="63" t="s">
        <v>788</v>
      </c>
    </row>
    <row r="351" ht="11.25" customHeight="1">
      <c r="A351" s="63" t="s">
        <v>2167</v>
      </c>
      <c r="B351" s="63" t="s">
        <v>14</v>
      </c>
      <c r="C351" s="63" t="s">
        <v>2280</v>
      </c>
      <c r="D351" s="63" t="s">
        <v>2281</v>
      </c>
      <c r="E351" s="63" t="s">
        <v>2282</v>
      </c>
      <c r="F351" s="63" t="s">
        <v>2283</v>
      </c>
      <c r="G351" s="63" t="s">
        <v>2284</v>
      </c>
      <c r="H351" s="63" t="s">
        <v>18</v>
      </c>
      <c r="I351" s="63" t="s">
        <v>788</v>
      </c>
    </row>
    <row r="352" ht="11.25" customHeight="1">
      <c r="A352" s="63" t="s">
        <v>2167</v>
      </c>
      <c r="B352" s="63" t="s">
        <v>14</v>
      </c>
      <c r="C352" s="63" t="s">
        <v>2288</v>
      </c>
      <c r="D352" s="63" t="s">
        <v>2289</v>
      </c>
      <c r="E352" s="63" t="s">
        <v>2290</v>
      </c>
      <c r="F352" s="63" t="s">
        <v>2291</v>
      </c>
      <c r="G352" s="63" t="s">
        <v>18</v>
      </c>
      <c r="H352" s="63" t="s">
        <v>18</v>
      </c>
      <c r="I352" s="63" t="s">
        <v>788</v>
      </c>
    </row>
    <row r="353" ht="11.25" customHeight="1">
      <c r="A353" s="63" t="s">
        <v>2167</v>
      </c>
      <c r="B353" s="63" t="s">
        <v>14</v>
      </c>
      <c r="C353" s="63" t="s">
        <v>2300</v>
      </c>
      <c r="D353" s="63" t="s">
        <v>2301</v>
      </c>
      <c r="E353" s="63" t="s">
        <v>2302</v>
      </c>
      <c r="F353" s="63" t="s">
        <v>2303</v>
      </c>
      <c r="G353" s="63" t="s">
        <v>18</v>
      </c>
      <c r="H353" s="63" t="s">
        <v>18</v>
      </c>
      <c r="I353" s="63" t="s">
        <v>788</v>
      </c>
    </row>
    <row r="354" ht="11.25" customHeight="1">
      <c r="A354" s="63" t="s">
        <v>2167</v>
      </c>
      <c r="B354" s="63" t="s">
        <v>14</v>
      </c>
      <c r="C354" s="63" t="s">
        <v>2304</v>
      </c>
      <c r="D354" s="63" t="s">
        <v>2305</v>
      </c>
      <c r="E354" s="63" t="s">
        <v>2306</v>
      </c>
      <c r="F354" s="63" t="s">
        <v>2307</v>
      </c>
      <c r="G354" s="63" t="s">
        <v>18</v>
      </c>
      <c r="H354" s="63" t="s">
        <v>18</v>
      </c>
      <c r="I354" s="63" t="s">
        <v>788</v>
      </c>
    </row>
    <row r="355" ht="11.25" customHeight="1">
      <c r="A355" s="63" t="s">
        <v>2167</v>
      </c>
      <c r="B355" s="63" t="s">
        <v>14</v>
      </c>
      <c r="C355" s="63" t="s">
        <v>2320</v>
      </c>
      <c r="D355" s="63" t="s">
        <v>2321</v>
      </c>
      <c r="E355" s="63" t="s">
        <v>2322</v>
      </c>
      <c r="F355" s="63" t="s">
        <v>2269</v>
      </c>
      <c r="G355" s="63" t="s">
        <v>18</v>
      </c>
      <c r="H355" s="63" t="s">
        <v>18</v>
      </c>
      <c r="I355" s="63" t="s">
        <v>788</v>
      </c>
    </row>
    <row r="356" ht="11.25" customHeight="1">
      <c r="A356" s="63" t="s">
        <v>2167</v>
      </c>
      <c r="B356" s="63" t="s">
        <v>14</v>
      </c>
      <c r="C356" s="63" t="s">
        <v>2329</v>
      </c>
      <c r="D356" s="63" t="s">
        <v>2330</v>
      </c>
      <c r="E356" s="63" t="s">
        <v>2331</v>
      </c>
      <c r="F356" s="63" t="s">
        <v>2203</v>
      </c>
      <c r="G356" s="63" t="s">
        <v>18</v>
      </c>
      <c r="H356" s="63" t="s">
        <v>18</v>
      </c>
      <c r="I356" s="63" t="s">
        <v>788</v>
      </c>
    </row>
    <row r="357" ht="11.25" customHeight="1">
      <c r="A357" s="63" t="s">
        <v>2167</v>
      </c>
      <c r="B357" s="63" t="s">
        <v>14</v>
      </c>
      <c r="C357" s="63" t="s">
        <v>2332</v>
      </c>
      <c r="D357" s="63" t="s">
        <v>2333</v>
      </c>
      <c r="E357" s="63" t="s">
        <v>2334</v>
      </c>
      <c r="F357" s="63" t="s">
        <v>2176</v>
      </c>
      <c r="G357" s="63" t="s">
        <v>2335</v>
      </c>
      <c r="H357" s="63" t="s">
        <v>18</v>
      </c>
      <c r="I357" s="63" t="s">
        <v>788</v>
      </c>
    </row>
    <row r="358" ht="11.25" customHeight="1">
      <c r="A358" s="63" t="s">
        <v>2167</v>
      </c>
      <c r="B358" s="63" t="s">
        <v>14</v>
      </c>
      <c r="C358" s="63" t="s">
        <v>2343</v>
      </c>
      <c r="D358" s="63" t="s">
        <v>2344</v>
      </c>
      <c r="E358" s="63" t="s">
        <v>2345</v>
      </c>
      <c r="F358" s="63" t="s">
        <v>2210</v>
      </c>
      <c r="G358" s="63" t="s">
        <v>2346</v>
      </c>
      <c r="H358" s="63" t="s">
        <v>18</v>
      </c>
      <c r="I358" s="63" t="s">
        <v>788</v>
      </c>
    </row>
    <row r="359" ht="11.25" customHeight="1">
      <c r="A359" s="63" t="s">
        <v>2167</v>
      </c>
      <c r="B359" s="63" t="s">
        <v>14</v>
      </c>
      <c r="C359" s="63" t="s">
        <v>2347</v>
      </c>
      <c r="D359" s="63" t="s">
        <v>2344</v>
      </c>
      <c r="E359" s="63" t="s">
        <v>2345</v>
      </c>
      <c r="F359" s="63" t="s">
        <v>2348</v>
      </c>
      <c r="G359" s="63" t="s">
        <v>2349</v>
      </c>
      <c r="H359" s="63" t="s">
        <v>18</v>
      </c>
      <c r="I359" s="63" t="s">
        <v>788</v>
      </c>
    </row>
    <row r="360" ht="11.25" customHeight="1">
      <c r="A360" s="63" t="s">
        <v>2167</v>
      </c>
      <c r="B360" s="63" t="s">
        <v>14</v>
      </c>
      <c r="C360" s="63" t="s">
        <v>2350</v>
      </c>
      <c r="D360" s="63" t="s">
        <v>2351</v>
      </c>
      <c r="E360" s="63" t="s">
        <v>2352</v>
      </c>
      <c r="F360" s="63" t="s">
        <v>2353</v>
      </c>
      <c r="G360" s="63" t="s">
        <v>2354</v>
      </c>
      <c r="H360" s="63" t="s">
        <v>18</v>
      </c>
      <c r="I360" s="63" t="s">
        <v>788</v>
      </c>
    </row>
    <row r="361" ht="11.25" customHeight="1">
      <c r="A361" s="63" t="s">
        <v>2167</v>
      </c>
      <c r="B361" s="63" t="s">
        <v>14</v>
      </c>
      <c r="C361" s="63" t="s">
        <v>2355</v>
      </c>
      <c r="D361" s="63" t="s">
        <v>2356</v>
      </c>
      <c r="E361" s="63" t="s">
        <v>2357</v>
      </c>
      <c r="F361" s="63" t="s">
        <v>2358</v>
      </c>
      <c r="G361" s="63" t="s">
        <v>2359</v>
      </c>
      <c r="H361" s="63" t="s">
        <v>18</v>
      </c>
      <c r="I361" s="63" t="s">
        <v>788</v>
      </c>
    </row>
    <row r="362" ht="11.25" customHeight="1">
      <c r="A362" s="63" t="s">
        <v>2167</v>
      </c>
      <c r="B362" s="63" t="s">
        <v>14</v>
      </c>
      <c r="C362" s="63" t="s">
        <v>2360</v>
      </c>
      <c r="D362" s="63" t="s">
        <v>2361</v>
      </c>
      <c r="E362" s="63" t="s">
        <v>2362</v>
      </c>
      <c r="F362" s="63" t="s">
        <v>2363</v>
      </c>
      <c r="G362" s="63" t="s">
        <v>18</v>
      </c>
      <c r="H362" s="63" t="s">
        <v>18</v>
      </c>
      <c r="I362" s="63" t="s">
        <v>788</v>
      </c>
    </row>
    <row r="363" ht="11.25" customHeight="1">
      <c r="A363" s="63" t="s">
        <v>2167</v>
      </c>
      <c r="B363" s="63" t="s">
        <v>14</v>
      </c>
      <c r="C363" s="63" t="s">
        <v>2364</v>
      </c>
      <c r="D363" s="63" t="s">
        <v>2365</v>
      </c>
      <c r="E363" s="63" t="s">
        <v>2362</v>
      </c>
      <c r="F363" s="63" t="s">
        <v>2366</v>
      </c>
      <c r="G363" s="63" t="s">
        <v>18</v>
      </c>
      <c r="H363" s="63" t="s">
        <v>18</v>
      </c>
      <c r="I363" s="63" t="s">
        <v>788</v>
      </c>
    </row>
    <row r="364" ht="11.25" customHeight="1">
      <c r="A364" s="63" t="s">
        <v>2167</v>
      </c>
      <c r="B364" s="63" t="s">
        <v>14</v>
      </c>
      <c r="C364" s="63" t="s">
        <v>2367</v>
      </c>
      <c r="D364" s="63" t="s">
        <v>2368</v>
      </c>
      <c r="E364" s="63" t="s">
        <v>2369</v>
      </c>
      <c r="F364" s="63" t="s">
        <v>2370</v>
      </c>
      <c r="G364" s="63" t="s">
        <v>2371</v>
      </c>
      <c r="H364" s="63" t="s">
        <v>18</v>
      </c>
      <c r="I364" s="63" t="s">
        <v>788</v>
      </c>
    </row>
    <row r="365" ht="11.25" customHeight="1">
      <c r="A365" s="63" t="s">
        <v>2167</v>
      </c>
      <c r="B365" s="63" t="s">
        <v>14</v>
      </c>
      <c r="C365" s="63" t="s">
        <v>2386</v>
      </c>
      <c r="D365" s="63" t="s">
        <v>2387</v>
      </c>
      <c r="E365" s="63" t="s">
        <v>2388</v>
      </c>
      <c r="F365" s="63" t="s">
        <v>2291</v>
      </c>
      <c r="G365" s="63" t="s">
        <v>2389</v>
      </c>
      <c r="H365" s="63" t="s">
        <v>18</v>
      </c>
      <c r="I365" s="63" t="s">
        <v>788</v>
      </c>
    </row>
    <row r="366" ht="11.25" customHeight="1">
      <c r="A366" s="63" t="s">
        <v>2167</v>
      </c>
      <c r="B366" s="63" t="s">
        <v>14</v>
      </c>
      <c r="C366" s="63" t="s">
        <v>2390</v>
      </c>
      <c r="D366" s="63" t="s">
        <v>2391</v>
      </c>
      <c r="E366" s="63" t="s">
        <v>2352</v>
      </c>
      <c r="F366" s="63" t="s">
        <v>2392</v>
      </c>
      <c r="G366" s="63" t="s">
        <v>2354</v>
      </c>
      <c r="H366" s="63" t="s">
        <v>18</v>
      </c>
      <c r="I366" s="63" t="s">
        <v>788</v>
      </c>
    </row>
    <row r="367" ht="11.25" customHeight="1">
      <c r="A367" s="63" t="s">
        <v>2167</v>
      </c>
      <c r="B367" s="63" t="s">
        <v>14</v>
      </c>
      <c r="C367" s="63" t="s">
        <v>2393</v>
      </c>
      <c r="D367" s="63" t="s">
        <v>2394</v>
      </c>
      <c r="E367" s="63" t="s">
        <v>2395</v>
      </c>
      <c r="F367" s="63" t="s">
        <v>2203</v>
      </c>
      <c r="G367" s="63" t="s">
        <v>18</v>
      </c>
      <c r="H367" s="63" t="s">
        <v>18</v>
      </c>
      <c r="I367" s="63" t="s">
        <v>788</v>
      </c>
    </row>
    <row r="368" ht="11.25" customHeight="1">
      <c r="A368" s="63" t="s">
        <v>2167</v>
      </c>
      <c r="B368" s="63" t="s">
        <v>14</v>
      </c>
      <c r="C368" s="63" t="s">
        <v>2414</v>
      </c>
      <c r="D368" s="63" t="s">
        <v>2415</v>
      </c>
      <c r="E368" s="63" t="s">
        <v>2416</v>
      </c>
      <c r="F368" s="63" t="s">
        <v>2417</v>
      </c>
      <c r="G368" s="63" t="s">
        <v>18</v>
      </c>
      <c r="H368" s="63" t="s">
        <v>18</v>
      </c>
      <c r="I368" s="63" t="s">
        <v>788</v>
      </c>
    </row>
    <row r="369" ht="11.25" customHeight="1">
      <c r="A369" s="63" t="s">
        <v>2167</v>
      </c>
      <c r="B369" s="63" t="s">
        <v>14</v>
      </c>
      <c r="C369" s="63" t="s">
        <v>2431</v>
      </c>
      <c r="D369" s="63" t="s">
        <v>2432</v>
      </c>
      <c r="E369" s="63" t="s">
        <v>2433</v>
      </c>
      <c r="F369" s="63" t="s">
        <v>557</v>
      </c>
      <c r="G369" s="63" t="s">
        <v>2434</v>
      </c>
      <c r="H369" s="63" t="s">
        <v>18</v>
      </c>
      <c r="I369" s="63" t="s">
        <v>788</v>
      </c>
    </row>
    <row r="370" ht="11.25" customHeight="1">
      <c r="A370" s="63" t="s">
        <v>2167</v>
      </c>
      <c r="B370" s="63" t="s">
        <v>14</v>
      </c>
      <c r="C370" s="63" t="s">
        <v>2439</v>
      </c>
      <c r="D370" s="63" t="s">
        <v>2440</v>
      </c>
      <c r="E370" s="63" t="s">
        <v>2441</v>
      </c>
      <c r="F370" s="63" t="s">
        <v>557</v>
      </c>
      <c r="G370" s="63" t="s">
        <v>2442</v>
      </c>
      <c r="H370" s="63" t="s">
        <v>18</v>
      </c>
      <c r="I370" s="63" t="s">
        <v>788</v>
      </c>
    </row>
    <row r="371" ht="11.25" customHeight="1">
      <c r="A371" s="63" t="s">
        <v>2167</v>
      </c>
      <c r="B371" s="63" t="s">
        <v>14</v>
      </c>
      <c r="C371" s="63" t="s">
        <v>2447</v>
      </c>
      <c r="D371" s="63" t="s">
        <v>2448</v>
      </c>
      <c r="E371" s="63" t="s">
        <v>2449</v>
      </c>
      <c r="F371" s="63" t="s">
        <v>2210</v>
      </c>
      <c r="G371" s="63" t="s">
        <v>2450</v>
      </c>
      <c r="H371" s="63" t="s">
        <v>18</v>
      </c>
      <c r="I371" s="63" t="s">
        <v>788</v>
      </c>
    </row>
    <row r="372" ht="11.25" customHeight="1">
      <c r="A372" s="63" t="s">
        <v>2167</v>
      </c>
      <c r="B372" s="63" t="s">
        <v>14</v>
      </c>
      <c r="C372" s="63" t="s">
        <v>2455</v>
      </c>
      <c r="D372" s="63" t="s">
        <v>2456</v>
      </c>
      <c r="E372" s="63" t="s">
        <v>2352</v>
      </c>
      <c r="F372" s="63" t="s">
        <v>2457</v>
      </c>
      <c r="G372" s="63" t="s">
        <v>2354</v>
      </c>
      <c r="H372" s="63" t="s">
        <v>18</v>
      </c>
      <c r="I372" s="63" t="s">
        <v>788</v>
      </c>
    </row>
    <row r="373" ht="11.25" customHeight="1">
      <c r="A373" s="63" t="s">
        <v>2167</v>
      </c>
      <c r="B373" s="63" t="s">
        <v>14</v>
      </c>
      <c r="C373" s="63" t="s">
        <v>2490</v>
      </c>
      <c r="D373" s="63" t="s">
        <v>2491</v>
      </c>
      <c r="E373" s="63" t="s">
        <v>2492</v>
      </c>
      <c r="F373" s="63" t="s">
        <v>2493</v>
      </c>
      <c r="G373" s="63" t="s">
        <v>18</v>
      </c>
      <c r="H373" s="63" t="s">
        <v>18</v>
      </c>
      <c r="I373" s="63" t="s">
        <v>788</v>
      </c>
    </row>
    <row r="374" ht="11.25" customHeight="1">
      <c r="A374" s="63" t="s">
        <v>2167</v>
      </c>
      <c r="B374" s="63" t="s">
        <v>14</v>
      </c>
      <c r="C374" s="63" t="s">
        <v>2508</v>
      </c>
      <c r="D374" s="63" t="s">
        <v>2509</v>
      </c>
      <c r="E374" s="63" t="s">
        <v>2510</v>
      </c>
      <c r="F374" s="63" t="s">
        <v>2417</v>
      </c>
      <c r="G374" s="63" t="s">
        <v>18</v>
      </c>
      <c r="H374" s="63" t="s">
        <v>18</v>
      </c>
      <c r="I374" s="63" t="s">
        <v>788</v>
      </c>
    </row>
    <row r="375" ht="11.25" customHeight="1">
      <c r="A375" s="63" t="s">
        <v>2167</v>
      </c>
      <c r="B375" s="63" t="s">
        <v>14</v>
      </c>
      <c r="C375" s="63" t="s">
        <v>2511</v>
      </c>
      <c r="D375" s="63" t="s">
        <v>2512</v>
      </c>
      <c r="E375" s="63" t="s">
        <v>2513</v>
      </c>
      <c r="F375" s="63" t="s">
        <v>2514</v>
      </c>
      <c r="G375" s="63" t="s">
        <v>18</v>
      </c>
      <c r="H375" s="63" t="s">
        <v>18</v>
      </c>
      <c r="I375" s="63" t="s">
        <v>788</v>
      </c>
    </row>
    <row r="376" ht="11.25" customHeight="1">
      <c r="A376" s="63" t="s">
        <v>2167</v>
      </c>
      <c r="B376" s="63" t="s">
        <v>14</v>
      </c>
      <c r="C376" s="63" t="s">
        <v>2515</v>
      </c>
      <c r="D376" s="63" t="s">
        <v>2516</v>
      </c>
      <c r="E376" s="63" t="s">
        <v>2517</v>
      </c>
      <c r="F376" s="63" t="s">
        <v>2180</v>
      </c>
      <c r="G376" s="63" t="s">
        <v>2518</v>
      </c>
      <c r="H376" s="63" t="s">
        <v>18</v>
      </c>
      <c r="I376" s="63" t="s">
        <v>788</v>
      </c>
    </row>
    <row r="377" ht="11.25" customHeight="1">
      <c r="A377" s="63" t="s">
        <v>2167</v>
      </c>
      <c r="B377" s="63" t="s">
        <v>14</v>
      </c>
      <c r="C377" s="63" t="s">
        <v>2519</v>
      </c>
      <c r="D377" s="63" t="s">
        <v>2520</v>
      </c>
      <c r="E377" s="63" t="s">
        <v>2521</v>
      </c>
      <c r="F377" s="63" t="s">
        <v>2522</v>
      </c>
      <c r="G377" s="63" t="s">
        <v>2523</v>
      </c>
      <c r="H377" s="63" t="s">
        <v>18</v>
      </c>
      <c r="I377" s="63" t="s">
        <v>788</v>
      </c>
    </row>
    <row r="378" ht="11.25" customHeight="1">
      <c r="A378" s="63" t="s">
        <v>2167</v>
      </c>
      <c r="B378" s="63" t="s">
        <v>14</v>
      </c>
      <c r="C378" s="63" t="s">
        <v>2531</v>
      </c>
      <c r="D378" s="63" t="s">
        <v>2532</v>
      </c>
      <c r="E378" s="63" t="s">
        <v>2533</v>
      </c>
      <c r="F378" s="63" t="s">
        <v>2465</v>
      </c>
      <c r="G378" s="63" t="s">
        <v>2534</v>
      </c>
      <c r="H378" s="63" t="s">
        <v>18</v>
      </c>
      <c r="I378" s="63" t="s">
        <v>788</v>
      </c>
    </row>
    <row r="379" ht="11.25" customHeight="1">
      <c r="A379" s="63" t="s">
        <v>2167</v>
      </c>
      <c r="B379" s="63" t="s">
        <v>14</v>
      </c>
      <c r="C379" s="63" t="s">
        <v>2535</v>
      </c>
      <c r="D379" s="63" t="s">
        <v>2536</v>
      </c>
      <c r="E379" s="63" t="s">
        <v>2537</v>
      </c>
      <c r="F379" s="63" t="s">
        <v>2538</v>
      </c>
      <c r="G379" s="63" t="s">
        <v>2539</v>
      </c>
      <c r="H379" s="63" t="s">
        <v>18</v>
      </c>
      <c r="I379" s="63" t="s">
        <v>788</v>
      </c>
    </row>
    <row r="380" ht="11.25" customHeight="1">
      <c r="A380" s="63" t="s">
        <v>2167</v>
      </c>
      <c r="B380" s="63" t="s">
        <v>14</v>
      </c>
      <c r="C380" s="63" t="s">
        <v>2547</v>
      </c>
      <c r="D380" s="63" t="s">
        <v>2548</v>
      </c>
      <c r="E380" s="63" t="s">
        <v>2549</v>
      </c>
      <c r="F380" s="63" t="s">
        <v>2550</v>
      </c>
      <c r="G380" s="63" t="s">
        <v>18</v>
      </c>
      <c r="H380" s="63" t="s">
        <v>18</v>
      </c>
      <c r="I380" s="63" t="s">
        <v>788</v>
      </c>
    </row>
    <row r="381" ht="11.25" customHeight="1">
      <c r="A381" s="63" t="s">
        <v>2167</v>
      </c>
      <c r="B381" s="63" t="s">
        <v>14</v>
      </c>
      <c r="C381" s="63" t="s">
        <v>2551</v>
      </c>
      <c r="D381" s="63" t="s">
        <v>2552</v>
      </c>
      <c r="E381" s="63" t="s">
        <v>2553</v>
      </c>
      <c r="F381" s="63" t="s">
        <v>2506</v>
      </c>
      <c r="G381" s="63" t="s">
        <v>18</v>
      </c>
      <c r="H381" s="63" t="s">
        <v>18</v>
      </c>
      <c r="I381" s="63" t="s">
        <v>788</v>
      </c>
    </row>
    <row r="382" ht="11.25" customHeight="1">
      <c r="A382" s="63" t="s">
        <v>2167</v>
      </c>
      <c r="B382" s="63" t="s">
        <v>14</v>
      </c>
      <c r="C382" s="63" t="s">
        <v>2563</v>
      </c>
      <c r="D382" s="63" t="s">
        <v>2564</v>
      </c>
      <c r="E382" s="63" t="s">
        <v>2565</v>
      </c>
      <c r="F382" s="63" t="s">
        <v>2483</v>
      </c>
      <c r="G382" s="63" t="s">
        <v>18</v>
      </c>
      <c r="H382" s="63" t="s">
        <v>18</v>
      </c>
      <c r="I382" s="63" t="s">
        <v>788</v>
      </c>
    </row>
    <row r="383" ht="11.25" customHeight="1">
      <c r="A383" s="63" t="s">
        <v>2167</v>
      </c>
      <c r="B383" s="63" t="s">
        <v>14</v>
      </c>
      <c r="C383" s="63" t="s">
        <v>2566</v>
      </c>
      <c r="D383" s="63" t="s">
        <v>2567</v>
      </c>
      <c r="E383" s="63" t="s">
        <v>2568</v>
      </c>
      <c r="F383" s="63" t="s">
        <v>2291</v>
      </c>
      <c r="G383" s="63" t="s">
        <v>18</v>
      </c>
      <c r="H383" s="63" t="s">
        <v>18</v>
      </c>
      <c r="I383" s="63" t="s">
        <v>788</v>
      </c>
    </row>
    <row r="384" ht="11.25" customHeight="1">
      <c r="A384" s="63" t="s">
        <v>2167</v>
      </c>
      <c r="B384" s="63" t="s">
        <v>14</v>
      </c>
      <c r="C384" s="63" t="s">
        <v>2569</v>
      </c>
      <c r="D384" s="63" t="s">
        <v>2570</v>
      </c>
      <c r="E384" s="63" t="s">
        <v>2571</v>
      </c>
      <c r="F384" s="63" t="s">
        <v>2572</v>
      </c>
      <c r="G384" s="63" t="s">
        <v>2573</v>
      </c>
      <c r="H384" s="63" t="s">
        <v>18</v>
      </c>
      <c r="I384" s="63" t="s">
        <v>788</v>
      </c>
    </row>
    <row r="385" ht="11.25" customHeight="1">
      <c r="A385" s="63" t="s">
        <v>2167</v>
      </c>
      <c r="B385" s="63" t="s">
        <v>14</v>
      </c>
      <c r="C385" s="63" t="s">
        <v>2574</v>
      </c>
      <c r="D385" s="63" t="s">
        <v>2575</v>
      </c>
      <c r="E385" s="63" t="s">
        <v>2576</v>
      </c>
      <c r="F385" s="63" t="s">
        <v>2577</v>
      </c>
      <c r="G385" s="63" t="s">
        <v>2578</v>
      </c>
      <c r="H385" s="63" t="s">
        <v>18</v>
      </c>
      <c r="I385" s="63" t="s">
        <v>788</v>
      </c>
    </row>
    <row r="386" ht="11.25" customHeight="1">
      <c r="A386" s="63" t="s">
        <v>2167</v>
      </c>
      <c r="B386" s="63" t="s">
        <v>14</v>
      </c>
      <c r="C386" s="63" t="s">
        <v>2579</v>
      </c>
      <c r="D386" s="63" t="s">
        <v>2580</v>
      </c>
      <c r="E386" s="63" t="s">
        <v>2581</v>
      </c>
      <c r="F386" s="63" t="s">
        <v>2413</v>
      </c>
      <c r="G386" s="63" t="s">
        <v>18</v>
      </c>
      <c r="H386" s="63" t="s">
        <v>18</v>
      </c>
      <c r="I386" s="63" t="s">
        <v>788</v>
      </c>
    </row>
    <row r="387" ht="11.25" customHeight="1">
      <c r="A387" s="63" t="s">
        <v>2167</v>
      </c>
      <c r="B387" s="63" t="s">
        <v>14</v>
      </c>
      <c r="C387" s="63" t="s">
        <v>2582</v>
      </c>
      <c r="D387" s="63" t="s">
        <v>2583</v>
      </c>
      <c r="E387" s="63" t="s">
        <v>2584</v>
      </c>
      <c r="F387" s="63" t="s">
        <v>2465</v>
      </c>
      <c r="G387" s="63" t="s">
        <v>2585</v>
      </c>
      <c r="H387" s="63" t="s">
        <v>18</v>
      </c>
      <c r="I387" s="63" t="s">
        <v>788</v>
      </c>
    </row>
    <row r="388" ht="11.25" customHeight="1">
      <c r="A388" s="63" t="s">
        <v>2167</v>
      </c>
      <c r="B388" s="63" t="s">
        <v>14</v>
      </c>
      <c r="C388" s="63" t="s">
        <v>2586</v>
      </c>
      <c r="D388" s="63" t="s">
        <v>2587</v>
      </c>
      <c r="E388" s="63" t="s">
        <v>2588</v>
      </c>
      <c r="F388" s="63" t="s">
        <v>2403</v>
      </c>
      <c r="G388" s="63" t="s">
        <v>2589</v>
      </c>
      <c r="H388" s="63" t="s">
        <v>18</v>
      </c>
      <c r="I388" s="63" t="s">
        <v>788</v>
      </c>
    </row>
    <row r="389" ht="11.25" customHeight="1">
      <c r="A389" s="63" t="s">
        <v>2167</v>
      </c>
      <c r="B389" s="63" t="s">
        <v>14</v>
      </c>
      <c r="C389" s="63" t="s">
        <v>2590</v>
      </c>
      <c r="D389" s="63" t="s">
        <v>2591</v>
      </c>
      <c r="E389" s="63" t="s">
        <v>2592</v>
      </c>
      <c r="F389" s="63" t="s">
        <v>2593</v>
      </c>
      <c r="G389" s="63" t="s">
        <v>2594</v>
      </c>
      <c r="H389" s="63" t="s">
        <v>18</v>
      </c>
      <c r="I389" s="63" t="s">
        <v>788</v>
      </c>
    </row>
    <row r="390" ht="11.25" customHeight="1">
      <c r="A390" s="63" t="s">
        <v>2167</v>
      </c>
      <c r="B390" s="63" t="s">
        <v>14</v>
      </c>
      <c r="C390" s="63" t="s">
        <v>2595</v>
      </c>
      <c r="D390" s="63" t="s">
        <v>2596</v>
      </c>
      <c r="E390" s="63" t="s">
        <v>2597</v>
      </c>
      <c r="F390" s="63" t="s">
        <v>2598</v>
      </c>
      <c r="G390" s="63" t="s">
        <v>18</v>
      </c>
      <c r="H390" s="63" t="s">
        <v>18</v>
      </c>
      <c r="I390" s="63" t="s">
        <v>788</v>
      </c>
    </row>
    <row r="391" ht="11.25" customHeight="1">
      <c r="A391" s="63" t="s">
        <v>2167</v>
      </c>
      <c r="B391" s="63" t="s">
        <v>14</v>
      </c>
      <c r="C391" s="63" t="s">
        <v>2599</v>
      </c>
      <c r="D391" s="63" t="s">
        <v>2600</v>
      </c>
      <c r="E391" s="63" t="s">
        <v>2601</v>
      </c>
      <c r="F391" s="63" t="s">
        <v>2602</v>
      </c>
      <c r="G391" s="63" t="s">
        <v>2603</v>
      </c>
      <c r="H391" s="63" t="s">
        <v>18</v>
      </c>
      <c r="I391" s="63" t="s">
        <v>788</v>
      </c>
    </row>
    <row r="392" ht="11.25" customHeight="1">
      <c r="A392" s="63" t="s">
        <v>2167</v>
      </c>
      <c r="B392" s="63" t="s">
        <v>14</v>
      </c>
      <c r="C392" s="63" t="s">
        <v>2604</v>
      </c>
      <c r="D392" s="63" t="s">
        <v>2605</v>
      </c>
      <c r="E392" s="63" t="s">
        <v>2606</v>
      </c>
      <c r="F392" s="63" t="s">
        <v>2607</v>
      </c>
      <c r="G392" s="63" t="s">
        <v>18</v>
      </c>
      <c r="H392" s="63" t="s">
        <v>18</v>
      </c>
      <c r="I392" s="63" t="s">
        <v>788</v>
      </c>
    </row>
    <row r="393" ht="11.25" customHeight="1">
      <c r="A393" s="63" t="s">
        <v>2167</v>
      </c>
      <c r="B393" s="63" t="s">
        <v>14</v>
      </c>
      <c r="C393" s="63" t="s">
        <v>2612</v>
      </c>
      <c r="D393" s="63" t="s">
        <v>2613</v>
      </c>
      <c r="E393" s="63" t="s">
        <v>2614</v>
      </c>
      <c r="F393" s="63" t="s">
        <v>2380</v>
      </c>
      <c r="G393" s="63" t="s">
        <v>2615</v>
      </c>
      <c r="H393" s="63" t="s">
        <v>18</v>
      </c>
      <c r="I393" s="63" t="s">
        <v>788</v>
      </c>
    </row>
    <row r="394" ht="11.25" customHeight="1">
      <c r="A394" s="63" t="s">
        <v>2167</v>
      </c>
      <c r="B394" s="63" t="s">
        <v>14</v>
      </c>
      <c r="C394" s="63" t="s">
        <v>2616</v>
      </c>
      <c r="D394" s="63" t="s">
        <v>2617</v>
      </c>
      <c r="E394" s="63" t="s">
        <v>2618</v>
      </c>
      <c r="F394" s="63" t="s">
        <v>2483</v>
      </c>
      <c r="G394" s="63" t="s">
        <v>18</v>
      </c>
      <c r="H394" s="63" t="s">
        <v>18</v>
      </c>
      <c r="I394" s="63" t="s">
        <v>788</v>
      </c>
    </row>
    <row r="395" ht="11.25" customHeight="1">
      <c r="A395" s="63" t="s">
        <v>2167</v>
      </c>
      <c r="B395" s="63" t="s">
        <v>14</v>
      </c>
      <c r="C395" s="63" t="s">
        <v>2619</v>
      </c>
      <c r="D395" s="63" t="s">
        <v>2620</v>
      </c>
      <c r="E395" s="63" t="s">
        <v>2621</v>
      </c>
      <c r="F395" s="63" t="s">
        <v>2622</v>
      </c>
      <c r="G395" s="63" t="s">
        <v>18</v>
      </c>
      <c r="H395" s="63" t="s">
        <v>18</v>
      </c>
      <c r="I395" s="63" t="s">
        <v>788</v>
      </c>
    </row>
    <row r="396" ht="11.25" customHeight="1">
      <c r="A396" s="63" t="s">
        <v>2167</v>
      </c>
      <c r="B396" s="63" t="s">
        <v>14</v>
      </c>
      <c r="C396" s="63" t="s">
        <v>2627</v>
      </c>
      <c r="D396" s="63" t="s">
        <v>2628</v>
      </c>
      <c r="E396" s="63" t="s">
        <v>2629</v>
      </c>
      <c r="F396" s="63" t="s">
        <v>2630</v>
      </c>
      <c r="G396" s="63" t="s">
        <v>2631</v>
      </c>
      <c r="H396" s="63" t="s">
        <v>18</v>
      </c>
      <c r="I396" s="63" t="s">
        <v>788</v>
      </c>
    </row>
    <row r="397" ht="11.25" customHeight="1">
      <c r="A397" s="63" t="s">
        <v>2167</v>
      </c>
      <c r="B397" s="63" t="s">
        <v>14</v>
      </c>
      <c r="C397" s="63" t="s">
        <v>2635</v>
      </c>
      <c r="D397" s="63" t="s">
        <v>2636</v>
      </c>
      <c r="E397" s="63" t="s">
        <v>2637</v>
      </c>
      <c r="F397" s="63" t="s">
        <v>2185</v>
      </c>
      <c r="G397" s="63" t="s">
        <v>18</v>
      </c>
      <c r="H397" s="63" t="s">
        <v>18</v>
      </c>
      <c r="I397" s="63" t="s">
        <v>788</v>
      </c>
    </row>
    <row r="398" ht="11.25" customHeight="1">
      <c r="A398" s="63" t="s">
        <v>2167</v>
      </c>
      <c r="B398" s="63" t="s">
        <v>14</v>
      </c>
      <c r="C398" s="63" t="s">
        <v>2638</v>
      </c>
      <c r="D398" s="63" t="s">
        <v>2639</v>
      </c>
      <c r="E398" s="63" t="s">
        <v>2640</v>
      </c>
      <c r="F398" s="63" t="s">
        <v>2474</v>
      </c>
      <c r="G398" s="63" t="s">
        <v>2641</v>
      </c>
      <c r="H398" s="63" t="s">
        <v>18</v>
      </c>
      <c r="I398" s="63" t="s">
        <v>788</v>
      </c>
    </row>
    <row r="399" ht="11.25" customHeight="1">
      <c r="A399" s="63" t="s">
        <v>2167</v>
      </c>
      <c r="B399" s="63" t="s">
        <v>14</v>
      </c>
      <c r="C399" s="63" t="s">
        <v>2642</v>
      </c>
      <c r="D399" s="63" t="s">
        <v>2643</v>
      </c>
      <c r="E399" s="63" t="s">
        <v>2644</v>
      </c>
      <c r="F399" s="63" t="s">
        <v>2645</v>
      </c>
      <c r="G399" s="63" t="s">
        <v>2646</v>
      </c>
      <c r="H399" s="63" t="s">
        <v>18</v>
      </c>
      <c r="I399" s="63" t="s">
        <v>788</v>
      </c>
    </row>
    <row r="400" ht="11.25" customHeight="1">
      <c r="A400" s="63" t="s">
        <v>2167</v>
      </c>
      <c r="B400" s="63" t="s">
        <v>14</v>
      </c>
      <c r="C400" s="63" t="s">
        <v>2653</v>
      </c>
      <c r="D400" s="63" t="s">
        <v>2654</v>
      </c>
      <c r="E400" s="63" t="s">
        <v>2655</v>
      </c>
      <c r="F400" s="63" t="s">
        <v>2656</v>
      </c>
      <c r="G400" s="63" t="s">
        <v>18</v>
      </c>
      <c r="H400" s="63" t="s">
        <v>18</v>
      </c>
      <c r="I400" s="63" t="s">
        <v>788</v>
      </c>
    </row>
    <row r="401" ht="11.25" customHeight="1">
      <c r="A401" s="63" t="s">
        <v>2167</v>
      </c>
      <c r="B401" s="63" t="s">
        <v>14</v>
      </c>
      <c r="C401" s="63" t="s">
        <v>2661</v>
      </c>
      <c r="D401" s="63" t="s">
        <v>2662</v>
      </c>
      <c r="E401" s="63" t="s">
        <v>2663</v>
      </c>
      <c r="F401" s="63" t="s">
        <v>2577</v>
      </c>
      <c r="G401" s="63" t="s">
        <v>2664</v>
      </c>
      <c r="H401" s="63" t="s">
        <v>18</v>
      </c>
      <c r="I401" s="63" t="s">
        <v>788</v>
      </c>
    </row>
    <row r="402" ht="11.25" customHeight="1">
      <c r="A402" s="63" t="s">
        <v>2167</v>
      </c>
      <c r="B402" s="63" t="s">
        <v>14</v>
      </c>
      <c r="C402" s="63" t="s">
        <v>2665</v>
      </c>
      <c r="D402" s="63" t="s">
        <v>2666</v>
      </c>
      <c r="E402" s="63" t="s">
        <v>2667</v>
      </c>
      <c r="F402" s="63" t="s">
        <v>2538</v>
      </c>
      <c r="G402" s="63" t="s">
        <v>18</v>
      </c>
      <c r="H402" s="63" t="s">
        <v>2668</v>
      </c>
      <c r="I402" s="63" t="s">
        <v>788</v>
      </c>
    </row>
    <row r="403" ht="11.25" customHeight="1">
      <c r="A403" s="63" t="s">
        <v>2167</v>
      </c>
      <c r="B403" s="63" t="s">
        <v>14</v>
      </c>
      <c r="C403" s="63" t="s">
        <v>2672</v>
      </c>
      <c r="D403" s="63" t="s">
        <v>2673</v>
      </c>
      <c r="E403" s="63" t="s">
        <v>2674</v>
      </c>
      <c r="F403" s="63" t="s">
        <v>2502</v>
      </c>
      <c r="G403" s="63" t="s">
        <v>18</v>
      </c>
      <c r="H403" s="63" t="s">
        <v>18</v>
      </c>
      <c r="I403" s="63" t="s">
        <v>788</v>
      </c>
    </row>
    <row r="404" ht="11.25" customHeight="1">
      <c r="A404" s="63" t="s">
        <v>2167</v>
      </c>
      <c r="B404" s="63" t="s">
        <v>14</v>
      </c>
      <c r="C404" s="63" t="s">
        <v>2675</v>
      </c>
      <c r="D404" s="63" t="s">
        <v>2676</v>
      </c>
      <c r="E404" s="63" t="s">
        <v>2677</v>
      </c>
      <c r="F404" s="63" t="s">
        <v>2218</v>
      </c>
      <c r="G404" s="63" t="s">
        <v>2678</v>
      </c>
      <c r="H404" s="63" t="s">
        <v>18</v>
      </c>
      <c r="I404" s="63" t="s">
        <v>788</v>
      </c>
    </row>
    <row r="405" ht="11.25" customHeight="1">
      <c r="A405" s="63" t="s">
        <v>2167</v>
      </c>
      <c r="B405" s="63" t="s">
        <v>14</v>
      </c>
      <c r="C405" s="63" t="s">
        <v>2687</v>
      </c>
      <c r="D405" s="63" t="s">
        <v>2688</v>
      </c>
      <c r="E405" s="63" t="s">
        <v>2689</v>
      </c>
      <c r="F405" s="63" t="s">
        <v>2690</v>
      </c>
      <c r="G405" s="63" t="s">
        <v>2691</v>
      </c>
      <c r="H405" s="63" t="s">
        <v>18</v>
      </c>
      <c r="I405" s="63" t="s">
        <v>788</v>
      </c>
    </row>
    <row r="406" ht="11.25" customHeight="1">
      <c r="A406" s="63" t="s">
        <v>2167</v>
      </c>
      <c r="B406" s="63" t="s">
        <v>14</v>
      </c>
      <c r="C406" s="63" t="s">
        <v>2692</v>
      </c>
      <c r="D406" s="63" t="s">
        <v>2693</v>
      </c>
      <c r="E406" s="63" t="s">
        <v>2694</v>
      </c>
      <c r="F406" s="63" t="s">
        <v>2180</v>
      </c>
      <c r="G406" s="63" t="s">
        <v>18</v>
      </c>
      <c r="H406" s="63" t="s">
        <v>18</v>
      </c>
      <c r="I406" s="63" t="s">
        <v>788</v>
      </c>
    </row>
    <row r="407" ht="11.25" customHeight="1">
      <c r="A407" s="63" t="s">
        <v>2167</v>
      </c>
      <c r="B407" s="63" t="s">
        <v>14</v>
      </c>
      <c r="C407" s="63" t="s">
        <v>2749</v>
      </c>
      <c r="D407" s="63" t="s">
        <v>2750</v>
      </c>
      <c r="E407" s="63" t="s">
        <v>2751</v>
      </c>
      <c r="F407" s="63" t="s">
        <v>2474</v>
      </c>
      <c r="G407" s="63" t="s">
        <v>2752</v>
      </c>
      <c r="H407" s="63" t="s">
        <v>18</v>
      </c>
      <c r="I407" s="63" t="s">
        <v>788</v>
      </c>
    </row>
    <row r="408" ht="11.25" customHeight="1">
      <c r="A408" s="63" t="s">
        <v>2167</v>
      </c>
      <c r="B408" s="63" t="s">
        <v>14</v>
      </c>
      <c r="C408" s="63" t="s">
        <v>2756</v>
      </c>
      <c r="D408" s="63" t="s">
        <v>2757</v>
      </c>
      <c r="E408" s="63" t="s">
        <v>2758</v>
      </c>
      <c r="F408" s="63" t="s">
        <v>2759</v>
      </c>
      <c r="G408" s="63" t="s">
        <v>2760</v>
      </c>
      <c r="H408" s="63" t="s">
        <v>18</v>
      </c>
      <c r="I408" s="63" t="s">
        <v>788</v>
      </c>
    </row>
    <row r="409" ht="11.25" customHeight="1">
      <c r="A409" s="63" t="s">
        <v>2167</v>
      </c>
      <c r="B409" s="63" t="s">
        <v>14</v>
      </c>
      <c r="C409" s="63" t="s">
        <v>2764</v>
      </c>
      <c r="D409" s="63" t="s">
        <v>2765</v>
      </c>
      <c r="E409" s="63" t="s">
        <v>2766</v>
      </c>
      <c r="F409" s="63" t="s">
        <v>2222</v>
      </c>
      <c r="G409" s="63" t="s">
        <v>2767</v>
      </c>
      <c r="H409" s="63" t="s">
        <v>18</v>
      </c>
      <c r="I409" s="63" t="s">
        <v>788</v>
      </c>
    </row>
    <row r="410" ht="11.25" customHeight="1">
      <c r="A410" s="63" t="s">
        <v>2167</v>
      </c>
      <c r="B410" s="63" t="s">
        <v>14</v>
      </c>
      <c r="C410" s="63" t="s">
        <v>2783</v>
      </c>
      <c r="D410" s="63" t="s">
        <v>2784</v>
      </c>
      <c r="E410" s="63" t="s">
        <v>2785</v>
      </c>
      <c r="F410" s="63" t="s">
        <v>2171</v>
      </c>
      <c r="G410" s="63" t="s">
        <v>2786</v>
      </c>
      <c r="H410" s="63" t="s">
        <v>18</v>
      </c>
      <c r="I410" s="63" t="s">
        <v>788</v>
      </c>
    </row>
    <row r="411" ht="11.25" customHeight="1">
      <c r="A411" s="63" t="s">
        <v>2167</v>
      </c>
      <c r="B411" s="63" t="s">
        <v>14</v>
      </c>
      <c r="C411" s="63" t="s">
        <v>2787</v>
      </c>
      <c r="D411" s="63" t="s">
        <v>2788</v>
      </c>
      <c r="E411" s="63" t="s">
        <v>2789</v>
      </c>
      <c r="F411" s="63" t="s">
        <v>2370</v>
      </c>
      <c r="G411" s="63" t="s">
        <v>18</v>
      </c>
      <c r="H411" s="63" t="s">
        <v>18</v>
      </c>
      <c r="I411" s="63" t="s">
        <v>788</v>
      </c>
    </row>
    <row r="412" ht="11.25" customHeight="1">
      <c r="A412" s="63" t="s">
        <v>2167</v>
      </c>
      <c r="B412" s="63" t="s">
        <v>14</v>
      </c>
      <c r="C412" s="63" t="s">
        <v>2807</v>
      </c>
      <c r="D412" s="63" t="s">
        <v>2808</v>
      </c>
      <c r="E412" s="63" t="s">
        <v>2453</v>
      </c>
      <c r="F412" s="63" t="s">
        <v>2809</v>
      </c>
      <c r="G412" s="63" t="s">
        <v>18</v>
      </c>
      <c r="H412" s="63" t="s">
        <v>18</v>
      </c>
      <c r="I412" s="63" t="s">
        <v>788</v>
      </c>
    </row>
    <row r="413" ht="11.25" customHeight="1">
      <c r="A413" s="63" t="s">
        <v>2167</v>
      </c>
      <c r="B413" s="63" t="s">
        <v>14</v>
      </c>
      <c r="C413" s="63" t="s">
        <v>2821</v>
      </c>
      <c r="D413" s="63" t="s">
        <v>2822</v>
      </c>
      <c r="E413" s="63" t="s">
        <v>2823</v>
      </c>
      <c r="F413" s="63" t="s">
        <v>2249</v>
      </c>
      <c r="G413" s="63" t="s">
        <v>2824</v>
      </c>
      <c r="H413" s="63" t="s">
        <v>18</v>
      </c>
      <c r="I413" s="63" t="s">
        <v>788</v>
      </c>
    </row>
    <row r="414" ht="11.25" customHeight="1">
      <c r="A414" s="63" t="s">
        <v>2167</v>
      </c>
      <c r="B414" s="63" t="s">
        <v>14</v>
      </c>
      <c r="C414" s="63" t="s">
        <v>2825</v>
      </c>
      <c r="D414" s="63" t="s">
        <v>2826</v>
      </c>
      <c r="E414" s="63" t="s">
        <v>2827</v>
      </c>
      <c r="F414" s="63" t="s">
        <v>2171</v>
      </c>
      <c r="G414" s="63" t="s">
        <v>2828</v>
      </c>
      <c r="H414" s="63" t="s">
        <v>18</v>
      </c>
      <c r="I414" s="63" t="s">
        <v>788</v>
      </c>
    </row>
    <row r="415" ht="11.25" customHeight="1">
      <c r="A415" s="63" t="s">
        <v>2167</v>
      </c>
      <c r="B415" s="63" t="s">
        <v>14</v>
      </c>
      <c r="C415" s="63" t="s">
        <v>2851</v>
      </c>
      <c r="D415" s="63" t="s">
        <v>2852</v>
      </c>
      <c r="E415" s="63" t="s">
        <v>2853</v>
      </c>
      <c r="F415" s="63" t="s">
        <v>2176</v>
      </c>
      <c r="G415" s="63" t="s">
        <v>2854</v>
      </c>
      <c r="H415" s="63" t="s">
        <v>18</v>
      </c>
      <c r="I415" s="63" t="s">
        <v>788</v>
      </c>
    </row>
    <row r="416" ht="11.25" customHeight="1">
      <c r="A416" s="63" t="s">
        <v>2167</v>
      </c>
      <c r="B416" s="63" t="s">
        <v>14</v>
      </c>
      <c r="C416" s="63" t="s">
        <v>2855</v>
      </c>
      <c r="D416" s="63" t="s">
        <v>2856</v>
      </c>
      <c r="E416" s="63" t="s">
        <v>2857</v>
      </c>
      <c r="F416" s="63" t="s">
        <v>2218</v>
      </c>
      <c r="G416" s="63" t="s">
        <v>2573</v>
      </c>
      <c r="H416" s="63" t="s">
        <v>18</v>
      </c>
      <c r="I416" s="63" t="s">
        <v>788</v>
      </c>
    </row>
    <row r="417" ht="11.25" customHeight="1">
      <c r="A417" s="63" t="s">
        <v>2167</v>
      </c>
      <c r="B417" s="63" t="s">
        <v>14</v>
      </c>
      <c r="C417" s="63" t="s">
        <v>2858</v>
      </c>
      <c r="D417" s="63" t="s">
        <v>2859</v>
      </c>
      <c r="E417" s="63" t="s">
        <v>2860</v>
      </c>
      <c r="F417" s="63" t="s">
        <v>2218</v>
      </c>
      <c r="G417" s="63" t="s">
        <v>18</v>
      </c>
      <c r="H417" s="63" t="s">
        <v>18</v>
      </c>
      <c r="I417" s="63" t="s">
        <v>788</v>
      </c>
    </row>
    <row r="418" ht="11.25" customHeight="1">
      <c r="A418" s="63" t="s">
        <v>2167</v>
      </c>
      <c r="B418" s="63" t="s">
        <v>14</v>
      </c>
      <c r="C418" s="63" t="s">
        <v>2872</v>
      </c>
      <c r="D418" s="63" t="s">
        <v>2873</v>
      </c>
      <c r="E418" s="63" t="s">
        <v>2874</v>
      </c>
      <c r="F418" s="63" t="s">
        <v>2218</v>
      </c>
      <c r="G418" s="63" t="s">
        <v>2875</v>
      </c>
      <c r="H418" s="63" t="s">
        <v>18</v>
      </c>
      <c r="I418" s="63" t="s">
        <v>788</v>
      </c>
    </row>
    <row r="419" ht="11.25" customHeight="1">
      <c r="A419" s="63" t="s">
        <v>2167</v>
      </c>
      <c r="B419" s="63" t="s">
        <v>14</v>
      </c>
      <c r="C419" s="63" t="s">
        <v>2876</v>
      </c>
      <c r="D419" s="63" t="s">
        <v>2877</v>
      </c>
      <c r="E419" s="63" t="s">
        <v>2878</v>
      </c>
      <c r="F419" s="63" t="s">
        <v>2538</v>
      </c>
      <c r="G419" s="63" t="s">
        <v>18</v>
      </c>
      <c r="H419" s="63" t="s">
        <v>18</v>
      </c>
      <c r="I419" s="63" t="s">
        <v>788</v>
      </c>
    </row>
    <row r="420" ht="11.25" customHeight="1">
      <c r="A420" s="63" t="s">
        <v>2167</v>
      </c>
      <c r="B420" s="63" t="s">
        <v>14</v>
      </c>
      <c r="C420" s="63" t="s">
        <v>2905</v>
      </c>
      <c r="D420" s="63" t="s">
        <v>2906</v>
      </c>
      <c r="E420" s="63" t="s">
        <v>2907</v>
      </c>
      <c r="F420" s="63" t="s">
        <v>2898</v>
      </c>
      <c r="G420" s="63" t="s">
        <v>2908</v>
      </c>
      <c r="H420" s="63" t="s">
        <v>18</v>
      </c>
      <c r="I420" s="63" t="s">
        <v>788</v>
      </c>
    </row>
    <row r="421" ht="11.25" customHeight="1">
      <c r="A421" s="63" t="s">
        <v>2167</v>
      </c>
      <c r="B421" s="63" t="s">
        <v>14</v>
      </c>
      <c r="C421" s="63" t="s">
        <v>2909</v>
      </c>
      <c r="D421" s="63" t="s">
        <v>2910</v>
      </c>
      <c r="E421" s="63" t="s">
        <v>2911</v>
      </c>
      <c r="F421" s="63" t="s">
        <v>2303</v>
      </c>
      <c r="G421" s="63" t="s">
        <v>2912</v>
      </c>
      <c r="H421" s="63" t="s">
        <v>18</v>
      </c>
      <c r="I421" s="63" t="s">
        <v>788</v>
      </c>
    </row>
    <row r="422" ht="11.25" customHeight="1">
      <c r="A422" s="63" t="s">
        <v>2167</v>
      </c>
      <c r="B422" s="63" t="s">
        <v>14</v>
      </c>
      <c r="C422" s="63" t="s">
        <v>2949</v>
      </c>
      <c r="D422" s="63" t="s">
        <v>2950</v>
      </c>
      <c r="E422" s="63" t="s">
        <v>2951</v>
      </c>
      <c r="F422" s="63" t="s">
        <v>2210</v>
      </c>
      <c r="G422" s="63" t="s">
        <v>2952</v>
      </c>
      <c r="H422" s="63" t="s">
        <v>18</v>
      </c>
      <c r="I422" s="63" t="s">
        <v>788</v>
      </c>
    </row>
    <row r="423" ht="11.25" customHeight="1">
      <c r="A423" s="63" t="s">
        <v>2167</v>
      </c>
      <c r="B423" s="63" t="s">
        <v>14</v>
      </c>
      <c r="C423" s="63" t="s">
        <v>2983</v>
      </c>
      <c r="D423" s="63" t="s">
        <v>2984</v>
      </c>
      <c r="E423" s="63" t="s">
        <v>2985</v>
      </c>
      <c r="F423" s="63" t="s">
        <v>2291</v>
      </c>
      <c r="G423" s="63" t="s">
        <v>2986</v>
      </c>
      <c r="H423" s="63" t="s">
        <v>18</v>
      </c>
      <c r="I423" s="63" t="s">
        <v>788</v>
      </c>
    </row>
    <row r="424" ht="11.25" customHeight="1">
      <c r="A424" s="63" t="s">
        <v>2167</v>
      </c>
      <c r="B424" s="63" t="s">
        <v>14</v>
      </c>
      <c r="C424" s="63" t="s">
        <v>2990</v>
      </c>
      <c r="D424" s="63" t="s">
        <v>2991</v>
      </c>
      <c r="E424" s="63" t="s">
        <v>2992</v>
      </c>
      <c r="F424" s="63" t="s">
        <v>2993</v>
      </c>
      <c r="G424" s="63" t="s">
        <v>2994</v>
      </c>
      <c r="H424" s="63" t="s">
        <v>18</v>
      </c>
      <c r="I424" s="63" t="s">
        <v>788</v>
      </c>
    </row>
    <row r="425" ht="11.25" customHeight="1">
      <c r="A425" s="63" t="s">
        <v>2167</v>
      </c>
      <c r="B425" s="63" t="s">
        <v>14</v>
      </c>
      <c r="C425" s="63" t="s">
        <v>2995</v>
      </c>
      <c r="D425" s="63" t="s">
        <v>2996</v>
      </c>
      <c r="E425" s="63" t="s">
        <v>2997</v>
      </c>
      <c r="F425" s="63" t="s">
        <v>2218</v>
      </c>
      <c r="G425" s="63" t="s">
        <v>2998</v>
      </c>
      <c r="H425" s="63" t="s">
        <v>18</v>
      </c>
      <c r="I425" s="63" t="s">
        <v>788</v>
      </c>
    </row>
    <row r="426" ht="11.25" customHeight="1">
      <c r="A426" s="63" t="s">
        <v>2167</v>
      </c>
      <c r="B426" s="63" t="s">
        <v>14</v>
      </c>
      <c r="C426" s="63" t="s">
        <v>2999</v>
      </c>
      <c r="D426" s="63" t="s">
        <v>3000</v>
      </c>
      <c r="E426" s="63" t="s">
        <v>3001</v>
      </c>
      <c r="F426" s="63" t="s">
        <v>2190</v>
      </c>
      <c r="G426" s="63" t="s">
        <v>18</v>
      </c>
      <c r="H426" s="63" t="s">
        <v>18</v>
      </c>
      <c r="I426" s="63" t="s">
        <v>788</v>
      </c>
    </row>
    <row r="427" ht="11.25" customHeight="1">
      <c r="A427" s="63" t="s">
        <v>2167</v>
      </c>
      <c r="B427" s="63" t="s">
        <v>14</v>
      </c>
      <c r="C427" s="63" t="s">
        <v>3006</v>
      </c>
      <c r="D427" s="63" t="s">
        <v>3007</v>
      </c>
      <c r="E427" s="63" t="s">
        <v>3008</v>
      </c>
      <c r="F427" s="63" t="s">
        <v>2210</v>
      </c>
      <c r="G427" s="63" t="s">
        <v>3009</v>
      </c>
      <c r="H427" s="63" t="s">
        <v>18</v>
      </c>
      <c r="I427" s="63" t="s">
        <v>788</v>
      </c>
    </row>
    <row r="428" ht="11.25" customHeight="1">
      <c r="A428" s="63" t="s">
        <v>2167</v>
      </c>
      <c r="B428" s="63" t="s">
        <v>14</v>
      </c>
      <c r="C428" s="63" t="s">
        <v>3010</v>
      </c>
      <c r="D428" s="63" t="s">
        <v>3011</v>
      </c>
      <c r="E428" s="63" t="s">
        <v>3012</v>
      </c>
      <c r="F428" s="63" t="s">
        <v>2602</v>
      </c>
      <c r="G428" s="63" t="s">
        <v>3013</v>
      </c>
      <c r="H428" s="63" t="s">
        <v>18</v>
      </c>
      <c r="I428" s="63" t="s">
        <v>788</v>
      </c>
    </row>
    <row r="429" ht="11.25" customHeight="1">
      <c r="A429" s="63" t="s">
        <v>2167</v>
      </c>
      <c r="B429" s="63" t="s">
        <v>14</v>
      </c>
      <c r="C429" s="63" t="s">
        <v>3021</v>
      </c>
      <c r="D429" s="63" t="s">
        <v>3022</v>
      </c>
      <c r="E429" s="63" t="s">
        <v>3023</v>
      </c>
      <c r="F429" s="63" t="s">
        <v>2176</v>
      </c>
      <c r="G429" s="63" t="s">
        <v>3024</v>
      </c>
      <c r="H429" s="63" t="s">
        <v>18</v>
      </c>
      <c r="I429" s="63" t="s">
        <v>788</v>
      </c>
    </row>
    <row r="430" ht="11.25" customHeight="1">
      <c r="A430" s="63" t="s">
        <v>2167</v>
      </c>
      <c r="B430" s="63" t="s">
        <v>14</v>
      </c>
      <c r="C430" s="63" t="s">
        <v>3059</v>
      </c>
      <c r="D430" s="63" t="s">
        <v>3060</v>
      </c>
      <c r="E430" s="63" t="s">
        <v>3061</v>
      </c>
      <c r="F430" s="63" t="s">
        <v>3062</v>
      </c>
      <c r="G430" s="63" t="s">
        <v>18</v>
      </c>
      <c r="H430" s="63" t="s">
        <v>18</v>
      </c>
      <c r="I430" s="63" t="s">
        <v>788</v>
      </c>
    </row>
    <row r="431" ht="11.25" customHeight="1">
      <c r="A431" s="63" t="s">
        <v>2167</v>
      </c>
      <c r="B431" s="63" t="s">
        <v>14</v>
      </c>
      <c r="C431" s="63" t="s">
        <v>3077</v>
      </c>
      <c r="D431" s="63" t="s">
        <v>3078</v>
      </c>
      <c r="E431" s="63" t="s">
        <v>3079</v>
      </c>
      <c r="F431" s="63" t="s">
        <v>3080</v>
      </c>
      <c r="G431" s="63" t="s">
        <v>18</v>
      </c>
      <c r="H431" s="63" t="s">
        <v>18</v>
      </c>
      <c r="I431" s="63" t="s">
        <v>788</v>
      </c>
    </row>
    <row r="432" ht="11.25" customHeight="1">
      <c r="A432" s="63" t="s">
        <v>2167</v>
      </c>
      <c r="B432" s="63" t="s">
        <v>14</v>
      </c>
      <c r="C432" s="63" t="s">
        <v>3089</v>
      </c>
      <c r="D432" s="63" t="s">
        <v>3090</v>
      </c>
      <c r="E432" s="63" t="s">
        <v>3091</v>
      </c>
      <c r="F432" s="63" t="s">
        <v>2218</v>
      </c>
      <c r="G432" s="63" t="s">
        <v>3092</v>
      </c>
      <c r="H432" s="63" t="s">
        <v>18</v>
      </c>
      <c r="I432" s="63" t="s">
        <v>788</v>
      </c>
    </row>
    <row r="433" ht="11.25" customHeight="1">
      <c r="A433" s="63" t="s">
        <v>2167</v>
      </c>
      <c r="B433" s="63" t="s">
        <v>14</v>
      </c>
      <c r="C433" s="63" t="s">
        <v>3093</v>
      </c>
      <c r="D433" s="63" t="s">
        <v>3094</v>
      </c>
      <c r="E433" s="63" t="s">
        <v>3095</v>
      </c>
      <c r="F433" s="63" t="s">
        <v>3096</v>
      </c>
      <c r="G433" s="63" t="s">
        <v>18</v>
      </c>
      <c r="H433" s="63" t="s">
        <v>18</v>
      </c>
      <c r="I433" s="63" t="s">
        <v>788</v>
      </c>
    </row>
    <row r="434" ht="11.25" customHeight="1">
      <c r="A434" s="63" t="s">
        <v>2167</v>
      </c>
      <c r="B434" s="63" t="s">
        <v>14</v>
      </c>
      <c r="C434" s="63" t="s">
        <v>3104</v>
      </c>
      <c r="D434" s="63" t="s">
        <v>3105</v>
      </c>
      <c r="E434" s="63" t="s">
        <v>3106</v>
      </c>
      <c r="F434" s="63" t="s">
        <v>3107</v>
      </c>
      <c r="G434" s="63" t="s">
        <v>3108</v>
      </c>
      <c r="H434" s="63" t="s">
        <v>18</v>
      </c>
      <c r="I434" s="63" t="s">
        <v>788</v>
      </c>
    </row>
    <row r="435" ht="11.25" customHeight="1">
      <c r="A435" s="63" t="s">
        <v>2167</v>
      </c>
      <c r="B435" s="63" t="s">
        <v>14</v>
      </c>
      <c r="C435" s="63" t="s">
        <v>3117</v>
      </c>
      <c r="D435" s="63" t="s">
        <v>3118</v>
      </c>
      <c r="E435" s="63" t="s">
        <v>3119</v>
      </c>
      <c r="F435" s="63" t="s">
        <v>2538</v>
      </c>
      <c r="G435" s="63" t="s">
        <v>18</v>
      </c>
      <c r="H435" s="63" t="s">
        <v>18</v>
      </c>
      <c r="I435" s="63" t="s">
        <v>788</v>
      </c>
    </row>
    <row r="436" ht="11.25" customHeight="1">
      <c r="A436" s="63" t="s">
        <v>2167</v>
      </c>
      <c r="B436" s="63" t="s">
        <v>14</v>
      </c>
      <c r="C436" s="63" t="s">
        <v>3133</v>
      </c>
      <c r="D436" s="63" t="s">
        <v>3134</v>
      </c>
      <c r="E436" s="63" t="s">
        <v>3135</v>
      </c>
      <c r="F436" s="63" t="s">
        <v>2176</v>
      </c>
      <c r="G436" s="63" t="s">
        <v>3136</v>
      </c>
      <c r="H436" s="63" t="s">
        <v>18</v>
      </c>
      <c r="I436" s="63" t="s">
        <v>788</v>
      </c>
    </row>
    <row r="437" ht="11.25" customHeight="1">
      <c r="A437" s="63" t="s">
        <v>2167</v>
      </c>
      <c r="B437" s="63" t="s">
        <v>14</v>
      </c>
      <c r="C437" s="63" t="s">
        <v>3141</v>
      </c>
      <c r="D437" s="63" t="s">
        <v>3142</v>
      </c>
      <c r="E437" s="63" t="s">
        <v>3143</v>
      </c>
      <c r="F437" s="63" t="s">
        <v>2269</v>
      </c>
      <c r="G437" s="63" t="s">
        <v>18</v>
      </c>
      <c r="H437" s="63" t="s">
        <v>18</v>
      </c>
      <c r="I437" s="63" t="s">
        <v>788</v>
      </c>
    </row>
    <row r="438" ht="11.25" customHeight="1">
      <c r="A438" s="63" t="s">
        <v>2167</v>
      </c>
      <c r="B438" s="63" t="s">
        <v>14</v>
      </c>
      <c r="C438" s="63" t="s">
        <v>3148</v>
      </c>
      <c r="D438" s="63" t="s">
        <v>3149</v>
      </c>
      <c r="E438" s="63" t="s">
        <v>3150</v>
      </c>
      <c r="F438" s="63" t="s">
        <v>2283</v>
      </c>
      <c r="G438" s="63" t="s">
        <v>18</v>
      </c>
      <c r="H438" s="63" t="s">
        <v>18</v>
      </c>
      <c r="I438" s="63" t="s">
        <v>788</v>
      </c>
    </row>
    <row r="439" ht="11.25" customHeight="1">
      <c r="A439" s="63" t="s">
        <v>2167</v>
      </c>
      <c r="B439" s="63" t="s">
        <v>14</v>
      </c>
      <c r="C439" s="63" t="s">
        <v>3151</v>
      </c>
      <c r="D439" s="63" t="s">
        <v>3152</v>
      </c>
      <c r="E439" s="63" t="s">
        <v>3153</v>
      </c>
      <c r="F439" s="63" t="s">
        <v>2218</v>
      </c>
      <c r="G439" s="63" t="s">
        <v>3154</v>
      </c>
      <c r="H439" s="63" t="s">
        <v>18</v>
      </c>
      <c r="I439" s="63" t="s">
        <v>788</v>
      </c>
    </row>
    <row r="440" ht="11.25" customHeight="1">
      <c r="A440" s="63" t="s">
        <v>2167</v>
      </c>
      <c r="B440" s="63" t="s">
        <v>14</v>
      </c>
      <c r="C440" s="63" t="s">
        <v>3155</v>
      </c>
      <c r="D440" s="63" t="s">
        <v>3156</v>
      </c>
      <c r="E440" s="63" t="s">
        <v>3157</v>
      </c>
      <c r="F440" s="63" t="s">
        <v>3158</v>
      </c>
      <c r="G440" s="63" t="s">
        <v>3159</v>
      </c>
      <c r="H440" s="63" t="s">
        <v>18</v>
      </c>
      <c r="I440" s="63" t="s">
        <v>788</v>
      </c>
    </row>
    <row r="441" ht="11.25" customHeight="1">
      <c r="A441" s="63" t="s">
        <v>2167</v>
      </c>
      <c r="B441" s="63" t="s">
        <v>14</v>
      </c>
      <c r="C441" s="63" t="s">
        <v>3160</v>
      </c>
      <c r="D441" s="63" t="s">
        <v>3161</v>
      </c>
      <c r="E441" s="63" t="s">
        <v>3162</v>
      </c>
      <c r="F441" s="63" t="s">
        <v>2249</v>
      </c>
      <c r="G441" s="63" t="s">
        <v>18</v>
      </c>
      <c r="H441" s="63" t="s">
        <v>18</v>
      </c>
      <c r="I441" s="63" t="s">
        <v>788</v>
      </c>
    </row>
    <row r="442" ht="11.25" customHeight="1">
      <c r="A442" s="63" t="s">
        <v>2167</v>
      </c>
      <c r="B442" s="63" t="s">
        <v>14</v>
      </c>
      <c r="C442" s="63" t="s">
        <v>3166</v>
      </c>
      <c r="D442" s="63" t="s">
        <v>3167</v>
      </c>
      <c r="E442" s="63" t="s">
        <v>3168</v>
      </c>
      <c r="F442" s="63" t="s">
        <v>2218</v>
      </c>
      <c r="G442" s="63" t="s">
        <v>3169</v>
      </c>
      <c r="H442" s="63" t="s">
        <v>18</v>
      </c>
      <c r="I442" s="63" t="s">
        <v>788</v>
      </c>
    </row>
    <row r="443" ht="11.25" customHeight="1">
      <c r="A443" s="63" t="s">
        <v>2167</v>
      </c>
      <c r="B443" s="63" t="s">
        <v>14</v>
      </c>
      <c r="C443" s="63" t="s">
        <v>3184</v>
      </c>
      <c r="D443" s="63" t="s">
        <v>3185</v>
      </c>
      <c r="E443" s="63" t="s">
        <v>3186</v>
      </c>
      <c r="F443" s="63" t="s">
        <v>2218</v>
      </c>
      <c r="G443" s="63" t="s">
        <v>3187</v>
      </c>
      <c r="H443" s="63" t="s">
        <v>18</v>
      </c>
      <c r="I443" s="63" t="s">
        <v>788</v>
      </c>
    </row>
    <row r="444" ht="11.25" customHeight="1">
      <c r="A444" s="63" t="s">
        <v>2167</v>
      </c>
      <c r="B444" s="63" t="s">
        <v>14</v>
      </c>
      <c r="C444" s="63" t="s">
        <v>3188</v>
      </c>
      <c r="D444" s="63" t="s">
        <v>3189</v>
      </c>
      <c r="E444" s="63" t="s">
        <v>3190</v>
      </c>
      <c r="F444" s="63" t="s">
        <v>2557</v>
      </c>
      <c r="G444" s="63" t="s">
        <v>18</v>
      </c>
      <c r="H444" s="63" t="s">
        <v>18</v>
      </c>
      <c r="I444" s="63" t="s">
        <v>788</v>
      </c>
    </row>
    <row r="445" ht="11.25" customHeight="1">
      <c r="A445" s="63" t="s">
        <v>2167</v>
      </c>
      <c r="B445" s="63" t="s">
        <v>14</v>
      </c>
      <c r="C445" s="63" t="s">
        <v>3191</v>
      </c>
      <c r="D445" s="63" t="s">
        <v>3192</v>
      </c>
      <c r="E445" s="63" t="s">
        <v>3193</v>
      </c>
      <c r="F445" s="63" t="s">
        <v>2171</v>
      </c>
      <c r="G445" s="63" t="s">
        <v>3194</v>
      </c>
      <c r="H445" s="63" t="s">
        <v>18</v>
      </c>
      <c r="I445" s="63" t="s">
        <v>788</v>
      </c>
    </row>
    <row r="446" ht="11.25" customHeight="1">
      <c r="A446" s="63" t="s">
        <v>2167</v>
      </c>
      <c r="B446" s="63" t="s">
        <v>14</v>
      </c>
      <c r="C446" s="63" t="s">
        <v>3199</v>
      </c>
      <c r="D446" s="63" t="s">
        <v>3200</v>
      </c>
      <c r="E446" s="63" t="s">
        <v>3201</v>
      </c>
      <c r="F446" s="63" t="s">
        <v>2171</v>
      </c>
      <c r="G446" s="63" t="s">
        <v>3202</v>
      </c>
      <c r="H446" s="63" t="s">
        <v>18</v>
      </c>
      <c r="I446" s="63" t="s">
        <v>788</v>
      </c>
    </row>
    <row r="447" ht="11.25" customHeight="1">
      <c r="A447" s="63" t="s">
        <v>2167</v>
      </c>
      <c r="B447" s="63" t="s">
        <v>14</v>
      </c>
      <c r="C447" s="63" t="s">
        <v>3206</v>
      </c>
      <c r="D447" s="63" t="s">
        <v>3207</v>
      </c>
      <c r="E447" s="63" t="s">
        <v>3208</v>
      </c>
      <c r="F447" s="63" t="s">
        <v>2185</v>
      </c>
      <c r="G447" s="63" t="s">
        <v>18</v>
      </c>
      <c r="H447" s="63" t="s">
        <v>18</v>
      </c>
      <c r="I447" s="63" t="s">
        <v>788</v>
      </c>
    </row>
    <row r="448" ht="11.25" customHeight="1">
      <c r="A448" s="63" t="s">
        <v>2167</v>
      </c>
      <c r="B448" s="63" t="s">
        <v>14</v>
      </c>
      <c r="C448" s="63" t="s">
        <v>3238</v>
      </c>
      <c r="D448" s="63" t="s">
        <v>3239</v>
      </c>
      <c r="E448" s="63" t="s">
        <v>3240</v>
      </c>
      <c r="F448" s="63" t="s">
        <v>2218</v>
      </c>
      <c r="G448" s="63" t="s">
        <v>3241</v>
      </c>
      <c r="H448" s="63" t="s">
        <v>18</v>
      </c>
      <c r="I448" s="63" t="s">
        <v>788</v>
      </c>
    </row>
    <row r="449" ht="11.25" customHeight="1">
      <c r="A449" s="63" t="s">
        <v>2167</v>
      </c>
      <c r="B449" s="63" t="s">
        <v>14</v>
      </c>
      <c r="C449" s="63" t="s">
        <v>3242</v>
      </c>
      <c r="D449" s="63" t="s">
        <v>3243</v>
      </c>
      <c r="E449" s="63" t="s">
        <v>3244</v>
      </c>
      <c r="F449" s="63" t="s">
        <v>2311</v>
      </c>
      <c r="G449" s="63" t="s">
        <v>3245</v>
      </c>
      <c r="H449" s="63" t="s">
        <v>18</v>
      </c>
      <c r="I449" s="63" t="s">
        <v>788</v>
      </c>
    </row>
    <row r="450" ht="11.25" customHeight="1">
      <c r="A450" s="63" t="s">
        <v>2167</v>
      </c>
      <c r="B450" s="63" t="s">
        <v>14</v>
      </c>
      <c r="C450" s="63" t="s">
        <v>3444</v>
      </c>
      <c r="D450" s="63" t="s">
        <v>3445</v>
      </c>
      <c r="E450" s="63" t="s">
        <v>2198</v>
      </c>
      <c r="F450" s="63" t="s">
        <v>3446</v>
      </c>
      <c r="G450" s="63" t="s">
        <v>3447</v>
      </c>
      <c r="H450" s="63" t="s">
        <v>18</v>
      </c>
      <c r="I450" s="63" t="s">
        <v>788</v>
      </c>
    </row>
    <row r="451" ht="11.25" customHeight="1">
      <c r="A451" s="63" t="s">
        <v>2167</v>
      </c>
      <c r="B451" s="63" t="s">
        <v>14</v>
      </c>
      <c r="C451" s="63" t="s">
        <v>3250</v>
      </c>
      <c r="D451" s="63" t="s">
        <v>3251</v>
      </c>
      <c r="E451" s="63" t="s">
        <v>3252</v>
      </c>
      <c r="F451" s="63" t="s">
        <v>3253</v>
      </c>
      <c r="G451" s="63" t="s">
        <v>18</v>
      </c>
      <c r="H451" s="63" t="s">
        <v>18</v>
      </c>
      <c r="I451" s="63" t="s">
        <v>788</v>
      </c>
    </row>
    <row r="452" ht="11.25" customHeight="1">
      <c r="A452" s="63" t="s">
        <v>2167</v>
      </c>
      <c r="B452" s="63" t="s">
        <v>14</v>
      </c>
      <c r="C452" s="63" t="s">
        <v>3254</v>
      </c>
      <c r="D452" s="63" t="s">
        <v>3255</v>
      </c>
      <c r="E452" s="63" t="s">
        <v>3256</v>
      </c>
      <c r="F452" s="63" t="s">
        <v>2307</v>
      </c>
      <c r="G452" s="63" t="s">
        <v>3257</v>
      </c>
      <c r="H452" s="63" t="s">
        <v>18</v>
      </c>
      <c r="I452" s="63" t="s">
        <v>788</v>
      </c>
    </row>
    <row r="453" ht="11.25" customHeight="1">
      <c r="A453" s="63" t="s">
        <v>2167</v>
      </c>
      <c r="B453" s="63" t="s">
        <v>14</v>
      </c>
      <c r="C453" s="63" t="s">
        <v>3264</v>
      </c>
      <c r="D453" s="63" t="s">
        <v>3265</v>
      </c>
      <c r="E453" s="63" t="s">
        <v>3266</v>
      </c>
      <c r="F453" s="63" t="s">
        <v>3267</v>
      </c>
      <c r="G453" s="63" t="s">
        <v>18</v>
      </c>
      <c r="H453" s="63" t="s">
        <v>18</v>
      </c>
      <c r="I453" s="63" t="s">
        <v>788</v>
      </c>
    </row>
    <row r="454" ht="11.25" customHeight="1">
      <c r="A454" s="63" t="s">
        <v>2167</v>
      </c>
      <c r="B454" s="63" t="s">
        <v>14</v>
      </c>
      <c r="C454" s="63" t="s">
        <v>3271</v>
      </c>
      <c r="D454" s="63" t="s">
        <v>3272</v>
      </c>
      <c r="E454" s="63" t="s">
        <v>3273</v>
      </c>
      <c r="F454" s="63" t="s">
        <v>3274</v>
      </c>
      <c r="G454" s="63" t="s">
        <v>3275</v>
      </c>
      <c r="H454" s="63" t="s">
        <v>18</v>
      </c>
      <c r="I454" s="63" t="s">
        <v>788</v>
      </c>
    </row>
    <row r="455" ht="11.25" customHeight="1">
      <c r="A455" s="63" t="s">
        <v>2167</v>
      </c>
      <c r="B455" s="63" t="s">
        <v>14</v>
      </c>
      <c r="C455" s="63" t="s">
        <v>3276</v>
      </c>
      <c r="D455" s="63" t="s">
        <v>3277</v>
      </c>
      <c r="E455" s="63" t="s">
        <v>3278</v>
      </c>
      <c r="F455" s="63" t="s">
        <v>3279</v>
      </c>
      <c r="G455" s="63" t="s">
        <v>18</v>
      </c>
      <c r="H455" s="63" t="s">
        <v>18</v>
      </c>
      <c r="I455" s="63" t="s">
        <v>788</v>
      </c>
    </row>
    <row r="456" ht="11.25" customHeight="1">
      <c r="A456" s="63" t="s">
        <v>2167</v>
      </c>
      <c r="B456" s="63" t="s">
        <v>14</v>
      </c>
      <c r="C456" s="63" t="s">
        <v>3280</v>
      </c>
      <c r="D456" s="63" t="s">
        <v>3281</v>
      </c>
      <c r="E456" s="63" t="s">
        <v>3282</v>
      </c>
      <c r="F456" s="63" t="s">
        <v>3283</v>
      </c>
      <c r="G456" s="63" t="s">
        <v>3284</v>
      </c>
      <c r="H456" s="63" t="s">
        <v>18</v>
      </c>
      <c r="I456" s="63" t="s">
        <v>788</v>
      </c>
    </row>
    <row r="457" ht="11.25" customHeight="1">
      <c r="A457" s="63" t="s">
        <v>2167</v>
      </c>
      <c r="B457" s="63" t="s">
        <v>14</v>
      </c>
      <c r="C457" s="63" t="s">
        <v>3285</v>
      </c>
      <c r="D457" s="63" t="s">
        <v>3286</v>
      </c>
      <c r="E457" s="63" t="s">
        <v>3287</v>
      </c>
      <c r="F457" s="63" t="s">
        <v>2283</v>
      </c>
      <c r="G457" s="63" t="s">
        <v>18</v>
      </c>
      <c r="H457" s="63" t="s">
        <v>18</v>
      </c>
      <c r="I457" s="63" t="s">
        <v>788</v>
      </c>
    </row>
    <row r="458" ht="11.25" customHeight="1">
      <c r="A458" s="63" t="s">
        <v>2167</v>
      </c>
      <c r="B458" s="63" t="s">
        <v>14</v>
      </c>
      <c r="C458" s="63" t="s">
        <v>3292</v>
      </c>
      <c r="D458" s="63" t="s">
        <v>3293</v>
      </c>
      <c r="E458" s="63" t="s">
        <v>2352</v>
      </c>
      <c r="F458" s="63" t="s">
        <v>2328</v>
      </c>
      <c r="G458" s="63" t="s">
        <v>2354</v>
      </c>
      <c r="H458" s="63" t="s">
        <v>18</v>
      </c>
      <c r="I458" s="63" t="s">
        <v>788</v>
      </c>
    </row>
    <row r="459" ht="11.25" customHeight="1">
      <c r="A459" s="63" t="s">
        <v>2167</v>
      </c>
      <c r="B459" s="63" t="s">
        <v>14</v>
      </c>
      <c r="C459" s="63" t="s">
        <v>3294</v>
      </c>
      <c r="D459" s="63" t="s">
        <v>3295</v>
      </c>
      <c r="E459" s="63" t="s">
        <v>3296</v>
      </c>
      <c r="F459" s="63" t="s">
        <v>2256</v>
      </c>
      <c r="G459" s="63" t="s">
        <v>18</v>
      </c>
      <c r="H459" s="63" t="s">
        <v>18</v>
      </c>
      <c r="I459" s="63" t="s">
        <v>788</v>
      </c>
    </row>
    <row r="460" ht="11.25" customHeight="1">
      <c r="A460" s="63" t="s">
        <v>2167</v>
      </c>
      <c r="B460" s="63" t="s">
        <v>14</v>
      </c>
      <c r="C460" s="63" t="s">
        <v>3297</v>
      </c>
      <c r="D460" s="63" t="s">
        <v>3298</v>
      </c>
      <c r="E460" s="63" t="s">
        <v>3299</v>
      </c>
      <c r="F460" s="63" t="s">
        <v>2311</v>
      </c>
      <c r="G460" s="63" t="s">
        <v>3300</v>
      </c>
      <c r="H460" s="63" t="s">
        <v>18</v>
      </c>
      <c r="I460" s="63" t="s">
        <v>788</v>
      </c>
    </row>
    <row r="461" ht="11.25" customHeight="1">
      <c r="A461" s="63" t="s">
        <v>2167</v>
      </c>
      <c r="B461" s="63" t="s">
        <v>14</v>
      </c>
      <c r="C461" s="63" t="s">
        <v>3301</v>
      </c>
      <c r="D461" s="63" t="s">
        <v>3302</v>
      </c>
      <c r="E461" s="63" t="s">
        <v>3303</v>
      </c>
      <c r="F461" s="63" t="s">
        <v>2218</v>
      </c>
      <c r="G461" s="63" t="s">
        <v>3304</v>
      </c>
      <c r="H461" s="63" t="s">
        <v>18</v>
      </c>
      <c r="I461" s="63" t="s">
        <v>788</v>
      </c>
    </row>
    <row r="462" ht="11.25" customHeight="1">
      <c r="A462" s="63" t="s">
        <v>2167</v>
      </c>
      <c r="B462" s="63" t="s">
        <v>14</v>
      </c>
      <c r="C462" s="63" t="s">
        <v>3305</v>
      </c>
      <c r="D462" s="63" t="s">
        <v>3306</v>
      </c>
      <c r="E462" s="63" t="s">
        <v>3307</v>
      </c>
      <c r="F462" s="63" t="s">
        <v>2311</v>
      </c>
      <c r="G462" s="63" t="s">
        <v>2385</v>
      </c>
      <c r="H462" s="63" t="s">
        <v>18</v>
      </c>
      <c r="I462" s="63" t="s">
        <v>788</v>
      </c>
    </row>
    <row r="463" ht="11.25" customHeight="1">
      <c r="A463" s="63" t="s">
        <v>2167</v>
      </c>
      <c r="B463" s="63" t="s">
        <v>14</v>
      </c>
      <c r="C463" s="63" t="s">
        <v>3308</v>
      </c>
      <c r="D463" s="63" t="s">
        <v>3309</v>
      </c>
      <c r="E463" s="63" t="s">
        <v>3310</v>
      </c>
      <c r="F463" s="63" t="s">
        <v>2218</v>
      </c>
      <c r="G463" s="63" t="s">
        <v>18</v>
      </c>
      <c r="H463" s="63" t="s">
        <v>18</v>
      </c>
      <c r="I463" s="63" t="s">
        <v>788</v>
      </c>
    </row>
    <row r="464" ht="11.25" customHeight="1">
      <c r="A464" s="63" t="s">
        <v>2167</v>
      </c>
      <c r="B464" s="63" t="s">
        <v>14</v>
      </c>
      <c r="C464" s="63" t="s">
        <v>3317</v>
      </c>
      <c r="D464" s="63" t="s">
        <v>3318</v>
      </c>
      <c r="E464" s="63" t="s">
        <v>3319</v>
      </c>
      <c r="F464" s="63" t="s">
        <v>2291</v>
      </c>
      <c r="G464" s="63" t="s">
        <v>18</v>
      </c>
      <c r="H464" s="63" t="s">
        <v>18</v>
      </c>
      <c r="I464" s="63" t="s">
        <v>788</v>
      </c>
    </row>
    <row r="465" ht="11.25" customHeight="1">
      <c r="A465" s="63" t="s">
        <v>2167</v>
      </c>
      <c r="B465" s="63" t="s">
        <v>14</v>
      </c>
      <c r="C465" s="63" t="s">
        <v>3320</v>
      </c>
      <c r="D465" s="63" t="s">
        <v>3321</v>
      </c>
      <c r="E465" s="63" t="s">
        <v>3322</v>
      </c>
      <c r="F465" s="63" t="s">
        <v>3323</v>
      </c>
      <c r="G465" s="63" t="s">
        <v>18</v>
      </c>
      <c r="H465" s="63" t="s">
        <v>18</v>
      </c>
      <c r="I465" s="63" t="s">
        <v>788</v>
      </c>
    </row>
    <row r="466" ht="11.25" customHeight="1">
      <c r="A466" s="63" t="s">
        <v>2167</v>
      </c>
      <c r="B466" s="63" t="s">
        <v>14</v>
      </c>
      <c r="C466" s="63" t="s">
        <v>3328</v>
      </c>
      <c r="D466" s="63" t="s">
        <v>3329</v>
      </c>
      <c r="E466" s="63" t="s">
        <v>3330</v>
      </c>
      <c r="F466" s="63" t="s">
        <v>2307</v>
      </c>
      <c r="G466" s="63" t="s">
        <v>3331</v>
      </c>
      <c r="H466" s="63" t="s">
        <v>18</v>
      </c>
      <c r="I466" s="63" t="s">
        <v>788</v>
      </c>
    </row>
    <row r="467" ht="11.25" customHeight="1">
      <c r="A467" s="63" t="s">
        <v>2167</v>
      </c>
      <c r="B467" s="63" t="s">
        <v>14</v>
      </c>
      <c r="C467" s="63" t="s">
        <v>3332</v>
      </c>
      <c r="D467" s="63" t="s">
        <v>3333</v>
      </c>
      <c r="E467" s="63" t="s">
        <v>3334</v>
      </c>
      <c r="F467" s="63" t="s">
        <v>2291</v>
      </c>
      <c r="G467" s="63" t="s">
        <v>18</v>
      </c>
      <c r="H467" s="63" t="s">
        <v>18</v>
      </c>
      <c r="I467" s="63" t="s">
        <v>788</v>
      </c>
    </row>
    <row r="468" ht="11.25" customHeight="1">
      <c r="A468" s="63" t="s">
        <v>2167</v>
      </c>
      <c r="B468" s="63" t="s">
        <v>14</v>
      </c>
      <c r="C468" s="63" t="s">
        <v>3335</v>
      </c>
      <c r="D468" s="63" t="s">
        <v>3336</v>
      </c>
      <c r="E468" s="63" t="s">
        <v>3337</v>
      </c>
      <c r="F468" s="63" t="s">
        <v>2311</v>
      </c>
      <c r="G468" s="63" t="s">
        <v>3338</v>
      </c>
      <c r="H468" s="63" t="s">
        <v>18</v>
      </c>
      <c r="I468" s="63" t="s">
        <v>788</v>
      </c>
    </row>
    <row r="469" ht="11.25" customHeight="1">
      <c r="A469" s="63" t="s">
        <v>2167</v>
      </c>
      <c r="B469" s="63" t="s">
        <v>14</v>
      </c>
      <c r="C469" s="63" t="s">
        <v>3339</v>
      </c>
      <c r="D469" s="63" t="s">
        <v>3340</v>
      </c>
      <c r="E469" s="63" t="s">
        <v>3341</v>
      </c>
      <c r="F469" s="63" t="s">
        <v>2218</v>
      </c>
      <c r="G469" s="63" t="s">
        <v>3342</v>
      </c>
      <c r="H469" s="63" t="s">
        <v>18</v>
      </c>
      <c r="I469" s="63" t="s">
        <v>788</v>
      </c>
    </row>
    <row r="470" ht="11.25" customHeight="1">
      <c r="A470" s="63" t="s">
        <v>2167</v>
      </c>
      <c r="B470" s="63" t="s">
        <v>14</v>
      </c>
      <c r="C470" s="63" t="s">
        <v>3347</v>
      </c>
      <c r="D470" s="63" t="s">
        <v>3348</v>
      </c>
      <c r="E470" s="63" t="s">
        <v>3349</v>
      </c>
      <c r="F470" s="63" t="s">
        <v>2283</v>
      </c>
      <c r="G470" s="63" t="s">
        <v>18</v>
      </c>
      <c r="H470" s="63" t="s">
        <v>18</v>
      </c>
      <c r="I470" s="63" t="s">
        <v>788</v>
      </c>
    </row>
    <row r="471" ht="11.25" customHeight="1">
      <c r="A471" s="63" t="s">
        <v>2167</v>
      </c>
      <c r="B471" s="63" t="s">
        <v>14</v>
      </c>
      <c r="C471" s="63" t="s">
        <v>3353</v>
      </c>
      <c r="D471" s="63" t="s">
        <v>3354</v>
      </c>
      <c r="E471" s="63" t="s">
        <v>3355</v>
      </c>
      <c r="F471" s="63" t="s">
        <v>2283</v>
      </c>
      <c r="G471" s="63" t="s">
        <v>18</v>
      </c>
      <c r="H471" s="63" t="s">
        <v>18</v>
      </c>
      <c r="I471" s="63" t="s">
        <v>788</v>
      </c>
    </row>
    <row r="472" ht="11.25" customHeight="1">
      <c r="A472" s="63" t="s">
        <v>2167</v>
      </c>
      <c r="B472" s="63" t="s">
        <v>14</v>
      </c>
      <c r="C472" s="63" t="s">
        <v>3356</v>
      </c>
      <c r="D472" s="63" t="s">
        <v>3357</v>
      </c>
      <c r="E472" s="63" t="s">
        <v>3358</v>
      </c>
      <c r="F472" s="63" t="s">
        <v>2283</v>
      </c>
      <c r="G472" s="63" t="s">
        <v>18</v>
      </c>
      <c r="H472" s="63" t="s">
        <v>18</v>
      </c>
      <c r="I472" s="63" t="s">
        <v>788</v>
      </c>
    </row>
    <row r="473" ht="11.25" customHeight="1">
      <c r="A473" s="63" t="s">
        <v>2167</v>
      </c>
      <c r="B473" s="63" t="s">
        <v>14</v>
      </c>
      <c r="C473" s="63" t="s">
        <v>3359</v>
      </c>
      <c r="D473" s="63" t="s">
        <v>3360</v>
      </c>
      <c r="E473" s="63" t="s">
        <v>3361</v>
      </c>
      <c r="F473" s="63" t="s">
        <v>2311</v>
      </c>
      <c r="G473" s="63" t="s">
        <v>3362</v>
      </c>
      <c r="H473" s="63" t="s">
        <v>18</v>
      </c>
      <c r="I473" s="63" t="s">
        <v>788</v>
      </c>
    </row>
    <row r="474" ht="11.25" customHeight="1">
      <c r="A474" s="63" t="s">
        <v>2167</v>
      </c>
      <c r="B474" s="63" t="s">
        <v>14</v>
      </c>
      <c r="C474" s="63" t="s">
        <v>3366</v>
      </c>
      <c r="D474" s="63" t="s">
        <v>3367</v>
      </c>
      <c r="E474" s="63" t="s">
        <v>2992</v>
      </c>
      <c r="F474" s="63" t="s">
        <v>3368</v>
      </c>
      <c r="G474" s="63" t="s">
        <v>3369</v>
      </c>
      <c r="H474" s="63" t="s">
        <v>18</v>
      </c>
      <c r="I474" s="63" t="s">
        <v>788</v>
      </c>
    </row>
    <row r="475" ht="11.25" customHeight="1">
      <c r="A475" s="63" t="s">
        <v>2167</v>
      </c>
      <c r="B475" s="63" t="s">
        <v>14</v>
      </c>
      <c r="C475" s="63" t="s">
        <v>3370</v>
      </c>
      <c r="D475" s="63" t="s">
        <v>3371</v>
      </c>
      <c r="E475" s="63" t="s">
        <v>2766</v>
      </c>
      <c r="F475" s="63" t="s">
        <v>3372</v>
      </c>
      <c r="G475" s="63" t="s">
        <v>3373</v>
      </c>
      <c r="H475" s="63" t="s">
        <v>18</v>
      </c>
      <c r="I475" s="63" t="s">
        <v>788</v>
      </c>
    </row>
    <row r="476" ht="11.25" customHeight="1">
      <c r="A476" s="63" t="s">
        <v>2167</v>
      </c>
      <c r="B476" s="63" t="s">
        <v>14</v>
      </c>
      <c r="C476" s="63" t="s">
        <v>3374</v>
      </c>
      <c r="D476" s="63" t="s">
        <v>3375</v>
      </c>
      <c r="E476" s="63" t="s">
        <v>3157</v>
      </c>
      <c r="F476" s="63" t="s">
        <v>3372</v>
      </c>
      <c r="G476" s="63" t="s">
        <v>3376</v>
      </c>
      <c r="H476" s="63" t="s">
        <v>18</v>
      </c>
      <c r="I476" s="63" t="s">
        <v>788</v>
      </c>
    </row>
    <row r="477" ht="11.25" customHeight="1">
      <c r="A477" s="63" t="s">
        <v>2167</v>
      </c>
      <c r="B477" s="63" t="s">
        <v>14</v>
      </c>
      <c r="C477" s="63" t="s">
        <v>3377</v>
      </c>
      <c r="D477" s="63" t="s">
        <v>3378</v>
      </c>
      <c r="E477" s="63" t="s">
        <v>3252</v>
      </c>
      <c r="F477" s="63" t="s">
        <v>2249</v>
      </c>
      <c r="G477" s="63" t="s">
        <v>18</v>
      </c>
      <c r="H477" s="63" t="s">
        <v>18</v>
      </c>
      <c r="I477" s="63" t="s">
        <v>788</v>
      </c>
    </row>
    <row r="478" ht="11.25" customHeight="1">
      <c r="A478" s="63" t="s">
        <v>2167</v>
      </c>
      <c r="B478" s="63" t="s">
        <v>14</v>
      </c>
      <c r="C478" s="63" t="s">
        <v>3383</v>
      </c>
      <c r="D478" s="63" t="s">
        <v>3384</v>
      </c>
      <c r="E478" s="63" t="s">
        <v>3385</v>
      </c>
      <c r="F478" s="63" t="s">
        <v>3386</v>
      </c>
      <c r="G478" s="63" t="s">
        <v>3387</v>
      </c>
      <c r="H478" s="63" t="s">
        <v>18</v>
      </c>
      <c r="I478" s="63" t="s">
        <v>788</v>
      </c>
    </row>
    <row r="479" ht="11.25" customHeight="1">
      <c r="A479" s="63" t="s">
        <v>2167</v>
      </c>
      <c r="B479" s="63" t="s">
        <v>14</v>
      </c>
      <c r="C479" s="63" t="s">
        <v>3388</v>
      </c>
      <c r="D479" s="63" t="s">
        <v>3389</v>
      </c>
      <c r="E479" s="63" t="s">
        <v>3385</v>
      </c>
      <c r="F479" s="63" t="s">
        <v>2457</v>
      </c>
      <c r="G479" s="63" t="s">
        <v>18</v>
      </c>
      <c r="H479" s="63" t="s">
        <v>18</v>
      </c>
      <c r="I479" s="63" t="s">
        <v>788</v>
      </c>
    </row>
    <row r="480" ht="11.25" customHeight="1">
      <c r="A480" s="63" t="s">
        <v>2167</v>
      </c>
      <c r="B480" s="63" t="s">
        <v>14</v>
      </c>
      <c r="C480" s="63" t="s">
        <v>3390</v>
      </c>
      <c r="D480" s="63" t="s">
        <v>3391</v>
      </c>
      <c r="E480" s="63" t="s">
        <v>3385</v>
      </c>
      <c r="F480" s="63" t="s">
        <v>3392</v>
      </c>
      <c r="G480" s="63" t="s">
        <v>3393</v>
      </c>
      <c r="H480" s="63" t="s">
        <v>18</v>
      </c>
      <c r="I480" s="63" t="s">
        <v>788</v>
      </c>
    </row>
    <row r="481" ht="11.25" customHeight="1">
      <c r="A481" s="63" t="s">
        <v>2167</v>
      </c>
      <c r="B481" s="63" t="s">
        <v>14</v>
      </c>
      <c r="C481" s="63" t="s">
        <v>3399</v>
      </c>
      <c r="D481" s="63" t="s">
        <v>3400</v>
      </c>
      <c r="E481" s="63" t="s">
        <v>3401</v>
      </c>
      <c r="F481" s="63" t="s">
        <v>3402</v>
      </c>
      <c r="G481" s="63" t="s">
        <v>3403</v>
      </c>
      <c r="H481" s="63" t="s">
        <v>18</v>
      </c>
      <c r="I481" s="63" t="s">
        <v>788</v>
      </c>
    </row>
    <row r="482" ht="11.25" customHeight="1">
      <c r="A482" s="63" t="s">
        <v>2167</v>
      </c>
      <c r="B482" s="63" t="s">
        <v>14</v>
      </c>
      <c r="C482" s="63" t="s">
        <v>3404</v>
      </c>
      <c r="D482" s="63" t="s">
        <v>3405</v>
      </c>
      <c r="E482" s="63" t="s">
        <v>2853</v>
      </c>
      <c r="F482" s="63" t="s">
        <v>3406</v>
      </c>
      <c r="G482" s="63" t="s">
        <v>18</v>
      </c>
      <c r="H482" s="63" t="s">
        <v>18</v>
      </c>
      <c r="I482" s="63" t="s">
        <v>788</v>
      </c>
    </row>
    <row r="483" ht="11.25" customHeight="1">
      <c r="A483" s="63" t="s">
        <v>2167</v>
      </c>
      <c r="B483" s="63" t="s">
        <v>14</v>
      </c>
      <c r="C483" s="63" t="s">
        <v>3407</v>
      </c>
      <c r="D483" s="63" t="s">
        <v>3408</v>
      </c>
      <c r="E483" s="63" t="s">
        <v>2911</v>
      </c>
      <c r="F483" s="63" t="s">
        <v>2348</v>
      </c>
      <c r="G483" s="63" t="s">
        <v>3409</v>
      </c>
      <c r="H483" s="63" t="s">
        <v>18</v>
      </c>
      <c r="I483" s="63" t="s">
        <v>788</v>
      </c>
    </row>
    <row r="484" ht="11.25" customHeight="1">
      <c r="A484" s="63" t="s">
        <v>2167</v>
      </c>
      <c r="B484" s="63" t="s">
        <v>14</v>
      </c>
      <c r="C484" s="63" t="s">
        <v>3410</v>
      </c>
      <c r="D484" s="63" t="s">
        <v>3411</v>
      </c>
      <c r="E484" s="63" t="s">
        <v>2911</v>
      </c>
      <c r="F484" s="63" t="s">
        <v>3412</v>
      </c>
      <c r="G484" s="63" t="s">
        <v>3413</v>
      </c>
      <c r="H484" s="63" t="s">
        <v>18</v>
      </c>
      <c r="I484" s="63" t="s">
        <v>788</v>
      </c>
    </row>
    <row r="485" ht="11.25" customHeight="1">
      <c r="A485" s="63" t="s">
        <v>2167</v>
      </c>
      <c r="B485" s="63" t="s">
        <v>14</v>
      </c>
      <c r="C485" s="63" t="s">
        <v>3418</v>
      </c>
      <c r="D485" s="63" t="s">
        <v>3419</v>
      </c>
      <c r="E485" s="63" t="s">
        <v>3157</v>
      </c>
      <c r="F485" s="63" t="s">
        <v>3420</v>
      </c>
      <c r="G485" s="63" t="s">
        <v>3159</v>
      </c>
      <c r="H485" s="63" t="s">
        <v>18</v>
      </c>
      <c r="I485" s="63" t="s">
        <v>788</v>
      </c>
    </row>
    <row r="486" ht="11.25" customHeight="1">
      <c r="A486" s="63" t="s">
        <v>2167</v>
      </c>
      <c r="B486" s="63" t="s">
        <v>14</v>
      </c>
      <c r="C486" s="63" t="s">
        <v>3421</v>
      </c>
      <c r="D486" s="63" t="s">
        <v>3422</v>
      </c>
      <c r="E486" s="63" t="s">
        <v>2766</v>
      </c>
      <c r="F486" s="63" t="s">
        <v>2276</v>
      </c>
      <c r="G486" s="63" t="s">
        <v>18</v>
      </c>
      <c r="H486" s="63" t="s">
        <v>18</v>
      </c>
      <c r="I486" s="63" t="s">
        <v>788</v>
      </c>
    </row>
    <row r="487" ht="11.25" customHeight="1">
      <c r="A487" s="63" t="s">
        <v>2167</v>
      </c>
      <c r="B487" s="63" t="s">
        <v>14</v>
      </c>
      <c r="C487" s="63" t="s">
        <v>3426</v>
      </c>
      <c r="D487" s="63" t="s">
        <v>3427</v>
      </c>
      <c r="E487" s="63" t="s">
        <v>3385</v>
      </c>
      <c r="F487" s="63" t="s">
        <v>2701</v>
      </c>
      <c r="G487" s="63" t="s">
        <v>18</v>
      </c>
      <c r="H487" s="63" t="s">
        <v>18</v>
      </c>
      <c r="I487" s="63" t="s">
        <v>788</v>
      </c>
    </row>
    <row r="488" ht="11.25" customHeight="1">
      <c r="A488" s="63" t="s">
        <v>2167</v>
      </c>
      <c r="B488" s="63" t="s">
        <v>14</v>
      </c>
      <c r="C488" s="63" t="s">
        <v>3428</v>
      </c>
      <c r="D488" s="63" t="s">
        <v>3429</v>
      </c>
      <c r="E488" s="63" t="s">
        <v>3385</v>
      </c>
      <c r="F488" s="63" t="s">
        <v>3430</v>
      </c>
      <c r="G488" s="63" t="s">
        <v>3431</v>
      </c>
      <c r="H488" s="63" t="s">
        <v>18</v>
      </c>
      <c r="I488" s="63" t="s">
        <v>788</v>
      </c>
    </row>
    <row r="489" ht="11.25" customHeight="1">
      <c r="A489" s="63" t="s">
        <v>2167</v>
      </c>
      <c r="B489" s="63" t="s">
        <v>14</v>
      </c>
      <c r="C489" s="63" t="s">
        <v>3432</v>
      </c>
      <c r="D489" s="63" t="s">
        <v>3433</v>
      </c>
      <c r="E489" s="63" t="s">
        <v>2279</v>
      </c>
      <c r="F489" s="63" t="s">
        <v>3434</v>
      </c>
      <c r="G489" s="63" t="s">
        <v>18</v>
      </c>
      <c r="H489" s="63" t="s">
        <v>18</v>
      </c>
      <c r="I489" s="63" t="s">
        <v>788</v>
      </c>
    </row>
    <row r="490" ht="11.25" customHeight="1">
      <c r="A490" s="63" t="s">
        <v>2167</v>
      </c>
      <c r="B490" s="63" t="s">
        <v>14</v>
      </c>
      <c r="C490" s="63" t="s">
        <v>3435</v>
      </c>
      <c r="D490" s="63" t="s">
        <v>3436</v>
      </c>
      <c r="E490" s="63" t="s">
        <v>2911</v>
      </c>
      <c r="F490" s="63" t="s">
        <v>2353</v>
      </c>
      <c r="G490" s="63" t="s">
        <v>3437</v>
      </c>
      <c r="H490" s="63" t="s">
        <v>18</v>
      </c>
      <c r="I490" s="63" t="s">
        <v>788</v>
      </c>
    </row>
    <row r="491" ht="11.25" customHeight="1">
      <c r="A491" s="63" t="s">
        <v>2167</v>
      </c>
      <c r="B491" s="63" t="s">
        <v>14</v>
      </c>
      <c r="C491" s="63" t="s">
        <v>3443</v>
      </c>
      <c r="D491" s="63" t="s">
        <v>43</v>
      </c>
      <c r="E491" s="63" t="s">
        <v>46</v>
      </c>
      <c r="F491" s="63" t="s">
        <v>48</v>
      </c>
      <c r="G491" s="63" t="s">
        <v>18</v>
      </c>
      <c r="H491" s="63" t="s">
        <v>18</v>
      </c>
      <c r="I491" s="63" t="s">
        <v>788</v>
      </c>
    </row>
    <row r="492" ht="11.25" customHeight="1">
      <c r="A492" s="63" t="s">
        <v>2167</v>
      </c>
      <c r="B492" s="63" t="s">
        <v>14</v>
      </c>
      <c r="C492" s="63" t="s">
        <v>3448</v>
      </c>
      <c r="D492" s="63" t="s">
        <v>3449</v>
      </c>
      <c r="E492" s="63" t="s">
        <v>3303</v>
      </c>
      <c r="F492" s="63" t="s">
        <v>3450</v>
      </c>
      <c r="G492" s="63" t="s">
        <v>3451</v>
      </c>
      <c r="H492" s="63" t="s">
        <v>18</v>
      </c>
      <c r="I492" s="63" t="s">
        <v>750</v>
      </c>
    </row>
    <row r="493" ht="11.25" customHeight="1">
      <c r="A493" s="63" t="s">
        <v>2167</v>
      </c>
      <c r="B493" s="63" t="s">
        <v>14</v>
      </c>
      <c r="C493" s="63" t="s">
        <v>3452</v>
      </c>
      <c r="D493" s="63" t="s">
        <v>3453</v>
      </c>
      <c r="E493" s="63" t="s">
        <v>3454</v>
      </c>
      <c r="F493" s="63" t="s">
        <v>2180</v>
      </c>
      <c r="G493" s="63" t="s">
        <v>3455</v>
      </c>
      <c r="H493" s="63" t="s">
        <v>18</v>
      </c>
      <c r="I493" s="63" t="s">
        <v>750</v>
      </c>
    </row>
    <row r="494" ht="11.25" customHeight="1">
      <c r="A494" s="63" t="s">
        <v>2167</v>
      </c>
      <c r="B494" s="63" t="s">
        <v>14</v>
      </c>
      <c r="C494" s="63" t="s">
        <v>2168</v>
      </c>
      <c r="D494" s="63" t="s">
        <v>2169</v>
      </c>
      <c r="E494" s="63" t="s">
        <v>2170</v>
      </c>
      <c r="F494" s="63" t="s">
        <v>2171</v>
      </c>
      <c r="G494" s="63" t="s">
        <v>2172</v>
      </c>
      <c r="H494" s="63" t="s">
        <v>18</v>
      </c>
      <c r="I494" s="63" t="s">
        <v>750</v>
      </c>
    </row>
    <row r="495" ht="11.25" customHeight="1">
      <c r="A495" s="63" t="s">
        <v>2167</v>
      </c>
      <c r="B495" s="63" t="s">
        <v>14</v>
      </c>
      <c r="C495" s="63" t="s">
        <v>3456</v>
      </c>
      <c r="D495" s="63" t="s">
        <v>3457</v>
      </c>
      <c r="E495" s="63" t="s">
        <v>3458</v>
      </c>
      <c r="F495" s="63" t="s">
        <v>2538</v>
      </c>
      <c r="G495" s="63" t="s">
        <v>3459</v>
      </c>
      <c r="H495" s="63" t="s">
        <v>18</v>
      </c>
      <c r="I495" s="63" t="s">
        <v>750</v>
      </c>
    </row>
    <row r="496" ht="11.25" customHeight="1">
      <c r="A496" s="63" t="s">
        <v>2167</v>
      </c>
      <c r="B496" s="63" t="s">
        <v>14</v>
      </c>
      <c r="C496" s="63" t="s">
        <v>3460</v>
      </c>
      <c r="D496" s="63" t="s">
        <v>3461</v>
      </c>
      <c r="E496" s="63" t="s">
        <v>3462</v>
      </c>
      <c r="F496" s="63" t="s">
        <v>2190</v>
      </c>
      <c r="G496" s="63" t="s">
        <v>18</v>
      </c>
      <c r="H496" s="63" t="s">
        <v>18</v>
      </c>
      <c r="I496" s="63" t="s">
        <v>750</v>
      </c>
    </row>
    <row r="497" ht="11.25" customHeight="1">
      <c r="A497" s="63" t="s">
        <v>2167</v>
      </c>
      <c r="B497" s="63" t="s">
        <v>14</v>
      </c>
      <c r="C497" s="63" t="s">
        <v>3463</v>
      </c>
      <c r="D497" s="63" t="s">
        <v>3464</v>
      </c>
      <c r="E497" s="63" t="s">
        <v>3465</v>
      </c>
      <c r="F497" s="63" t="s">
        <v>3466</v>
      </c>
      <c r="G497" s="63" t="s">
        <v>3467</v>
      </c>
      <c r="H497" s="63" t="s">
        <v>18</v>
      </c>
      <c r="I497" s="63" t="s">
        <v>750</v>
      </c>
    </row>
    <row r="498" ht="11.25" customHeight="1">
      <c r="A498" s="63" t="s">
        <v>2167</v>
      </c>
      <c r="B498" s="63" t="s">
        <v>14</v>
      </c>
      <c r="C498" s="63" t="s">
        <v>3468</v>
      </c>
      <c r="D498" s="63" t="s">
        <v>3469</v>
      </c>
      <c r="E498" s="63" t="s">
        <v>3470</v>
      </c>
      <c r="F498" s="63" t="s">
        <v>3062</v>
      </c>
      <c r="G498" s="63" t="s">
        <v>3471</v>
      </c>
      <c r="H498" s="63" t="s">
        <v>18</v>
      </c>
      <c r="I498" s="63" t="s">
        <v>750</v>
      </c>
    </row>
    <row r="499" ht="11.25" customHeight="1">
      <c r="A499" s="63" t="s">
        <v>2167</v>
      </c>
      <c r="B499" s="63" t="s">
        <v>14</v>
      </c>
      <c r="C499" s="63" t="s">
        <v>3472</v>
      </c>
      <c r="D499" s="63" t="s">
        <v>3473</v>
      </c>
      <c r="E499" s="63" t="s">
        <v>3474</v>
      </c>
      <c r="F499" s="63" t="s">
        <v>2269</v>
      </c>
      <c r="G499" s="63" t="s">
        <v>18</v>
      </c>
      <c r="H499" s="63" t="s">
        <v>18</v>
      </c>
      <c r="I499" s="63" t="s">
        <v>750</v>
      </c>
    </row>
    <row r="500" ht="11.25" customHeight="1">
      <c r="A500" s="63" t="s">
        <v>2167</v>
      </c>
      <c r="B500" s="63" t="s">
        <v>14</v>
      </c>
      <c r="C500" s="63" t="s">
        <v>3475</v>
      </c>
      <c r="D500" s="63" t="s">
        <v>3476</v>
      </c>
      <c r="E500" s="63" t="s">
        <v>3477</v>
      </c>
      <c r="F500" s="63" t="s">
        <v>2413</v>
      </c>
      <c r="G500" s="63" t="s">
        <v>3478</v>
      </c>
      <c r="H500" s="63" t="s">
        <v>18</v>
      </c>
      <c r="I500" s="63" t="s">
        <v>750</v>
      </c>
    </row>
    <row r="501" ht="11.25" customHeight="1">
      <c r="A501" s="63" t="s">
        <v>2167</v>
      </c>
      <c r="B501" s="63" t="s">
        <v>14</v>
      </c>
      <c r="C501" s="63" t="s">
        <v>2207</v>
      </c>
      <c r="D501" s="63" t="s">
        <v>2208</v>
      </c>
      <c r="E501" s="63" t="s">
        <v>2209</v>
      </c>
      <c r="F501" s="63" t="s">
        <v>2210</v>
      </c>
      <c r="G501" s="63" t="s">
        <v>18</v>
      </c>
      <c r="H501" s="63" t="s">
        <v>18</v>
      </c>
      <c r="I501" s="63" t="s">
        <v>750</v>
      </c>
    </row>
    <row r="502" ht="11.25" customHeight="1">
      <c r="A502" s="63" t="s">
        <v>2167</v>
      </c>
      <c r="B502" s="63" t="s">
        <v>14</v>
      </c>
      <c r="C502" s="63" t="s">
        <v>3479</v>
      </c>
      <c r="D502" s="63" t="s">
        <v>3480</v>
      </c>
      <c r="E502" s="63" t="s">
        <v>3481</v>
      </c>
      <c r="F502" s="63" t="s">
        <v>2218</v>
      </c>
      <c r="G502" s="63" t="s">
        <v>3482</v>
      </c>
      <c r="H502" s="63" t="s">
        <v>18</v>
      </c>
      <c r="I502" s="63" t="s">
        <v>750</v>
      </c>
    </row>
    <row r="503" ht="11.25" customHeight="1">
      <c r="A503" s="63" t="s">
        <v>2167</v>
      </c>
      <c r="B503" s="63" t="s">
        <v>14</v>
      </c>
      <c r="C503" s="63" t="s">
        <v>3483</v>
      </c>
      <c r="D503" s="63" t="s">
        <v>3484</v>
      </c>
      <c r="E503" s="63" t="s">
        <v>3485</v>
      </c>
      <c r="F503" s="63" t="s">
        <v>2474</v>
      </c>
      <c r="G503" s="63" t="s">
        <v>18</v>
      </c>
      <c r="H503" s="63" t="s">
        <v>18</v>
      </c>
      <c r="I503" s="63" t="s">
        <v>750</v>
      </c>
    </row>
    <row r="504" ht="11.25" customHeight="1">
      <c r="A504" s="63" t="s">
        <v>2167</v>
      </c>
      <c r="B504" s="63" t="s">
        <v>14</v>
      </c>
      <c r="C504" s="63" t="s">
        <v>2226</v>
      </c>
      <c r="D504" s="63" t="s">
        <v>2227</v>
      </c>
      <c r="E504" s="63" t="s">
        <v>2228</v>
      </c>
      <c r="F504" s="63" t="s">
        <v>2171</v>
      </c>
      <c r="G504" s="63" t="s">
        <v>2229</v>
      </c>
      <c r="H504" s="63" t="s">
        <v>18</v>
      </c>
      <c r="I504" s="63" t="s">
        <v>750</v>
      </c>
    </row>
    <row r="505" ht="11.25" customHeight="1">
      <c r="A505" s="63" t="s">
        <v>2167</v>
      </c>
      <c r="B505" s="63" t="s">
        <v>14</v>
      </c>
      <c r="C505" s="63" t="s">
        <v>2237</v>
      </c>
      <c r="D505" s="63" t="s">
        <v>2238</v>
      </c>
      <c r="E505" s="63" t="s">
        <v>2239</v>
      </c>
      <c r="F505" s="63" t="s">
        <v>2240</v>
      </c>
      <c r="G505" s="63" t="s">
        <v>2241</v>
      </c>
      <c r="H505" s="63" t="s">
        <v>18</v>
      </c>
      <c r="I505" s="63" t="s">
        <v>750</v>
      </c>
    </row>
    <row r="506" ht="11.25" customHeight="1">
      <c r="A506" s="63" t="s">
        <v>2167</v>
      </c>
      <c r="B506" s="63" t="s">
        <v>14</v>
      </c>
      <c r="C506" s="63" t="s">
        <v>3486</v>
      </c>
      <c r="D506" s="63" t="s">
        <v>3487</v>
      </c>
      <c r="E506" s="63" t="s">
        <v>3488</v>
      </c>
      <c r="F506" s="63" t="s">
        <v>2303</v>
      </c>
      <c r="G506" s="63" t="s">
        <v>3489</v>
      </c>
      <c r="H506" s="63" t="s">
        <v>18</v>
      </c>
      <c r="I506" s="63" t="s">
        <v>750</v>
      </c>
    </row>
    <row r="507" ht="11.25" customHeight="1">
      <c r="A507" s="63" t="s">
        <v>2167</v>
      </c>
      <c r="B507" s="63" t="s">
        <v>14</v>
      </c>
      <c r="C507" s="63" t="s">
        <v>3490</v>
      </c>
      <c r="D507" s="63" t="s">
        <v>3491</v>
      </c>
      <c r="E507" s="63" t="s">
        <v>3492</v>
      </c>
      <c r="F507" s="63" t="s">
        <v>2176</v>
      </c>
      <c r="G507" s="63" t="s">
        <v>3198</v>
      </c>
      <c r="H507" s="63" t="s">
        <v>18</v>
      </c>
      <c r="I507" s="63" t="s">
        <v>750</v>
      </c>
    </row>
    <row r="508" ht="11.25" customHeight="1">
      <c r="A508" s="63" t="s">
        <v>2167</v>
      </c>
      <c r="B508" s="63" t="s">
        <v>14</v>
      </c>
      <c r="C508" s="63" t="s">
        <v>2257</v>
      </c>
      <c r="D508" s="63" t="s">
        <v>2258</v>
      </c>
      <c r="E508" s="63" t="s">
        <v>2259</v>
      </c>
      <c r="F508" s="63" t="s">
        <v>2260</v>
      </c>
      <c r="G508" s="63" t="s">
        <v>2261</v>
      </c>
      <c r="H508" s="63" t="s">
        <v>18</v>
      </c>
      <c r="I508" s="63" t="s">
        <v>750</v>
      </c>
    </row>
    <row r="509" ht="11.25" customHeight="1">
      <c r="A509" s="63" t="s">
        <v>2167</v>
      </c>
      <c r="B509" s="63" t="s">
        <v>14</v>
      </c>
      <c r="C509" s="63" t="s">
        <v>3493</v>
      </c>
      <c r="D509" s="63" t="s">
        <v>3494</v>
      </c>
      <c r="E509" s="63" t="s">
        <v>3495</v>
      </c>
      <c r="F509" s="63" t="s">
        <v>3496</v>
      </c>
      <c r="G509" s="63" t="s">
        <v>3497</v>
      </c>
      <c r="H509" s="63" t="s">
        <v>18</v>
      </c>
      <c r="I509" s="63" t="s">
        <v>750</v>
      </c>
    </row>
    <row r="510" ht="11.25" customHeight="1">
      <c r="A510" s="63" t="s">
        <v>2167</v>
      </c>
      <c r="B510" s="63" t="s">
        <v>14</v>
      </c>
      <c r="C510" s="63" t="s">
        <v>3498</v>
      </c>
      <c r="D510" s="63" t="s">
        <v>3494</v>
      </c>
      <c r="E510" s="63" t="s">
        <v>3499</v>
      </c>
      <c r="F510" s="63" t="s">
        <v>2269</v>
      </c>
      <c r="G510" s="63" t="s">
        <v>18</v>
      </c>
      <c r="H510" s="63" t="s">
        <v>18</v>
      </c>
      <c r="I510" s="63" t="s">
        <v>750</v>
      </c>
    </row>
    <row r="511" ht="11.25" customHeight="1">
      <c r="A511" s="63" t="s">
        <v>2167</v>
      </c>
      <c r="B511" s="63" t="s">
        <v>14</v>
      </c>
      <c r="C511" s="63" t="s">
        <v>3500</v>
      </c>
      <c r="D511" s="63" t="s">
        <v>3501</v>
      </c>
      <c r="E511" s="63" t="s">
        <v>3502</v>
      </c>
      <c r="F511" s="63" t="s">
        <v>2469</v>
      </c>
      <c r="G511" s="63" t="s">
        <v>3503</v>
      </c>
      <c r="H511" s="63" t="s">
        <v>18</v>
      </c>
      <c r="I511" s="63" t="s">
        <v>750</v>
      </c>
    </row>
    <row r="512" ht="11.25" customHeight="1">
      <c r="A512" s="63" t="s">
        <v>2167</v>
      </c>
      <c r="B512" s="63" t="s">
        <v>14</v>
      </c>
      <c r="C512" s="63" t="s">
        <v>2285</v>
      </c>
      <c r="D512" s="63" t="s">
        <v>2286</v>
      </c>
      <c r="E512" s="63" t="s">
        <v>2287</v>
      </c>
      <c r="F512" s="63" t="s">
        <v>2269</v>
      </c>
      <c r="G512" s="63" t="s">
        <v>18</v>
      </c>
      <c r="H512" s="63" t="s">
        <v>18</v>
      </c>
      <c r="I512" s="63" t="s">
        <v>750</v>
      </c>
    </row>
    <row r="513" ht="11.25" customHeight="1">
      <c r="A513" s="63" t="s">
        <v>2167</v>
      </c>
      <c r="B513" s="63" t="s">
        <v>14</v>
      </c>
      <c r="C513" s="63" t="s">
        <v>3504</v>
      </c>
      <c r="D513" s="63" t="s">
        <v>3505</v>
      </c>
      <c r="E513" s="63" t="s">
        <v>3506</v>
      </c>
      <c r="F513" s="63" t="s">
        <v>2483</v>
      </c>
      <c r="G513" s="63" t="s">
        <v>18</v>
      </c>
      <c r="H513" s="63" t="s">
        <v>18</v>
      </c>
      <c r="I513" s="63" t="s">
        <v>750</v>
      </c>
    </row>
    <row r="514" ht="11.25" customHeight="1">
      <c r="A514" s="63" t="s">
        <v>2167</v>
      </c>
      <c r="B514" s="63" t="s">
        <v>14</v>
      </c>
      <c r="C514" s="63" t="s">
        <v>3507</v>
      </c>
      <c r="D514" s="63" t="s">
        <v>3508</v>
      </c>
      <c r="E514" s="63" t="s">
        <v>3509</v>
      </c>
      <c r="F514" s="63" t="s">
        <v>3510</v>
      </c>
      <c r="G514" s="63" t="s">
        <v>18</v>
      </c>
      <c r="H514" s="63" t="s">
        <v>18</v>
      </c>
      <c r="I514" s="63" t="s">
        <v>750</v>
      </c>
    </row>
    <row r="515" ht="11.25" customHeight="1">
      <c r="A515" s="63" t="s">
        <v>2167</v>
      </c>
      <c r="B515" s="63" t="s">
        <v>14</v>
      </c>
      <c r="C515" s="63" t="s">
        <v>2316</v>
      </c>
      <c r="D515" s="63" t="s">
        <v>2317</v>
      </c>
      <c r="E515" s="63" t="s">
        <v>2318</v>
      </c>
      <c r="F515" s="63" t="s">
        <v>2319</v>
      </c>
      <c r="G515" s="63" t="s">
        <v>18</v>
      </c>
      <c r="H515" s="63" t="s">
        <v>18</v>
      </c>
      <c r="I515" s="63" t="s">
        <v>750</v>
      </c>
    </row>
    <row r="516" ht="11.25" customHeight="1">
      <c r="A516" s="63" t="s">
        <v>2167</v>
      </c>
      <c r="B516" s="63" t="s">
        <v>14</v>
      </c>
      <c r="C516" s="63" t="s">
        <v>2323</v>
      </c>
      <c r="D516" s="63" t="s">
        <v>2324</v>
      </c>
      <c r="E516" s="63" t="s">
        <v>2325</v>
      </c>
      <c r="F516" s="63" t="s">
        <v>2214</v>
      </c>
      <c r="G516" s="63" t="s">
        <v>18</v>
      </c>
      <c r="H516" s="63" t="s">
        <v>18</v>
      </c>
      <c r="I516" s="63" t="s">
        <v>750</v>
      </c>
    </row>
    <row r="517" ht="11.25" customHeight="1">
      <c r="A517" s="63" t="s">
        <v>2167</v>
      </c>
      <c r="B517" s="63" t="s">
        <v>14</v>
      </c>
      <c r="C517" s="63" t="s">
        <v>3511</v>
      </c>
      <c r="D517" s="63" t="s">
        <v>3512</v>
      </c>
      <c r="E517" s="63" t="s">
        <v>3385</v>
      </c>
      <c r="F517" s="63" t="s">
        <v>2210</v>
      </c>
      <c r="G517" s="63" t="s">
        <v>3513</v>
      </c>
      <c r="H517" s="63" t="s">
        <v>18</v>
      </c>
      <c r="I517" s="63" t="s">
        <v>750</v>
      </c>
    </row>
    <row r="518" ht="11.25" customHeight="1">
      <c r="A518" s="63" t="s">
        <v>2167</v>
      </c>
      <c r="B518" s="63" t="s">
        <v>14</v>
      </c>
      <c r="C518" s="63" t="s">
        <v>3514</v>
      </c>
      <c r="D518" s="63" t="s">
        <v>3515</v>
      </c>
      <c r="E518" s="63" t="s">
        <v>3516</v>
      </c>
      <c r="F518" s="63" t="s">
        <v>2307</v>
      </c>
      <c r="G518" s="63" t="s">
        <v>3517</v>
      </c>
      <c r="H518" s="63" t="s">
        <v>18</v>
      </c>
      <c r="I518" s="63" t="s">
        <v>750</v>
      </c>
    </row>
    <row r="519" ht="11.25" customHeight="1">
      <c r="A519" s="63" t="s">
        <v>2167</v>
      </c>
      <c r="B519" s="63" t="s">
        <v>14</v>
      </c>
      <c r="C519" s="63" t="s">
        <v>2339</v>
      </c>
      <c r="D519" s="63" t="s">
        <v>2340</v>
      </c>
      <c r="E519" s="63" t="s">
        <v>2341</v>
      </c>
      <c r="F519" s="63" t="s">
        <v>2180</v>
      </c>
      <c r="G519" s="63" t="s">
        <v>2342</v>
      </c>
      <c r="H519" s="63" t="s">
        <v>18</v>
      </c>
      <c r="I519" s="63" t="s">
        <v>750</v>
      </c>
    </row>
    <row r="520" ht="11.25" customHeight="1">
      <c r="A520" s="63" t="s">
        <v>2167</v>
      </c>
      <c r="B520" s="63" t="s">
        <v>14</v>
      </c>
      <c r="C520" s="63" t="s">
        <v>3518</v>
      </c>
      <c r="D520" s="63" t="s">
        <v>3519</v>
      </c>
      <c r="E520" s="63" t="s">
        <v>3520</v>
      </c>
      <c r="F520" s="63" t="s">
        <v>2598</v>
      </c>
      <c r="G520" s="63" t="s">
        <v>18</v>
      </c>
      <c r="H520" s="63" t="s">
        <v>18</v>
      </c>
      <c r="I520" s="63" t="s">
        <v>750</v>
      </c>
    </row>
    <row r="521" ht="11.25" customHeight="1">
      <c r="A521" s="63" t="s">
        <v>2167</v>
      </c>
      <c r="B521" s="63" t="s">
        <v>14</v>
      </c>
      <c r="C521" s="63" t="s">
        <v>3521</v>
      </c>
      <c r="D521" s="63" t="s">
        <v>3522</v>
      </c>
      <c r="E521" s="63" t="s">
        <v>3523</v>
      </c>
      <c r="F521" s="63" t="s">
        <v>3524</v>
      </c>
      <c r="G521" s="63" t="s">
        <v>3525</v>
      </c>
      <c r="H521" s="63" t="s">
        <v>18</v>
      </c>
      <c r="I521" s="63" t="s">
        <v>750</v>
      </c>
    </row>
    <row r="522" ht="11.25" customHeight="1">
      <c r="A522" s="63" t="s">
        <v>2167</v>
      </c>
      <c r="B522" s="63" t="s">
        <v>14</v>
      </c>
      <c r="C522" s="63" t="s">
        <v>3526</v>
      </c>
      <c r="D522" s="63" t="s">
        <v>3527</v>
      </c>
      <c r="E522" s="63" t="s">
        <v>3528</v>
      </c>
      <c r="F522" s="63" t="s">
        <v>2593</v>
      </c>
      <c r="G522" s="63" t="s">
        <v>3529</v>
      </c>
      <c r="H522" s="63" t="s">
        <v>18</v>
      </c>
      <c r="I522" s="63" t="s">
        <v>750</v>
      </c>
    </row>
    <row r="523" ht="11.25" customHeight="1">
      <c r="A523" s="63" t="s">
        <v>2167</v>
      </c>
      <c r="B523" s="63" t="s">
        <v>14</v>
      </c>
      <c r="C523" s="63" t="s">
        <v>3530</v>
      </c>
      <c r="D523" s="63" t="s">
        <v>3531</v>
      </c>
      <c r="E523" s="63" t="s">
        <v>3532</v>
      </c>
      <c r="F523" s="63" t="s">
        <v>2180</v>
      </c>
      <c r="G523" s="63" t="s">
        <v>3455</v>
      </c>
      <c r="H523" s="63" t="s">
        <v>18</v>
      </c>
      <c r="I523" s="63" t="s">
        <v>750</v>
      </c>
    </row>
    <row r="524" ht="11.25" customHeight="1">
      <c r="A524" s="63" t="s">
        <v>2167</v>
      </c>
      <c r="B524" s="63" t="s">
        <v>14</v>
      </c>
      <c r="C524" s="63" t="s">
        <v>2355</v>
      </c>
      <c r="D524" s="63" t="s">
        <v>2356</v>
      </c>
      <c r="E524" s="63" t="s">
        <v>2357</v>
      </c>
      <c r="F524" s="63" t="s">
        <v>2358</v>
      </c>
      <c r="G524" s="63" t="s">
        <v>2359</v>
      </c>
      <c r="H524" s="63" t="s">
        <v>18</v>
      </c>
      <c r="I524" s="63" t="s">
        <v>750</v>
      </c>
    </row>
    <row r="525" ht="11.25" customHeight="1">
      <c r="A525" s="63" t="s">
        <v>2167</v>
      </c>
      <c r="B525" s="63" t="s">
        <v>14</v>
      </c>
      <c r="C525" s="63" t="s">
        <v>3533</v>
      </c>
      <c r="D525" s="63" t="s">
        <v>3534</v>
      </c>
      <c r="E525" s="63" t="s">
        <v>3535</v>
      </c>
      <c r="F525" s="63" t="s">
        <v>2180</v>
      </c>
      <c r="G525" s="63" t="s">
        <v>3455</v>
      </c>
      <c r="H525" s="63" t="s">
        <v>18</v>
      </c>
      <c r="I525" s="63" t="s">
        <v>750</v>
      </c>
    </row>
    <row r="526" ht="11.25" customHeight="1">
      <c r="A526" s="63" t="s">
        <v>2167</v>
      </c>
      <c r="B526" s="63" t="s">
        <v>14</v>
      </c>
      <c r="C526" s="63" t="s">
        <v>2360</v>
      </c>
      <c r="D526" s="63" t="s">
        <v>2361</v>
      </c>
      <c r="E526" s="63" t="s">
        <v>2362</v>
      </c>
      <c r="F526" s="63" t="s">
        <v>2363</v>
      </c>
      <c r="G526" s="63" t="s">
        <v>18</v>
      </c>
      <c r="H526" s="63" t="s">
        <v>18</v>
      </c>
      <c r="I526" s="63" t="s">
        <v>750</v>
      </c>
    </row>
    <row r="527" ht="11.25" customHeight="1">
      <c r="A527" s="63" t="s">
        <v>2167</v>
      </c>
      <c r="B527" s="63" t="s">
        <v>14</v>
      </c>
      <c r="C527" s="63" t="s">
        <v>3536</v>
      </c>
      <c r="D527" s="63" t="s">
        <v>3537</v>
      </c>
      <c r="E527" s="63" t="s">
        <v>3538</v>
      </c>
      <c r="F527" s="63" t="s">
        <v>2645</v>
      </c>
      <c r="G527" s="63" t="s">
        <v>3539</v>
      </c>
      <c r="H527" s="63" t="s">
        <v>18</v>
      </c>
      <c r="I527" s="63" t="s">
        <v>750</v>
      </c>
    </row>
    <row r="528" ht="11.25" customHeight="1">
      <c r="A528" s="63" t="s">
        <v>2167</v>
      </c>
      <c r="B528" s="63" t="s">
        <v>14</v>
      </c>
      <c r="C528" s="63" t="s">
        <v>3540</v>
      </c>
      <c r="D528" s="63" t="s">
        <v>3541</v>
      </c>
      <c r="E528" s="63" t="s">
        <v>3542</v>
      </c>
      <c r="F528" s="63" t="s">
        <v>2218</v>
      </c>
      <c r="G528" s="63" t="s">
        <v>3543</v>
      </c>
      <c r="H528" s="63" t="s">
        <v>18</v>
      </c>
      <c r="I528" s="63" t="s">
        <v>750</v>
      </c>
    </row>
    <row r="529" ht="11.25" customHeight="1">
      <c r="A529" s="63" t="s">
        <v>2167</v>
      </c>
      <c r="B529" s="63" t="s">
        <v>14</v>
      </c>
      <c r="C529" s="63" t="s">
        <v>3544</v>
      </c>
      <c r="D529" s="63" t="s">
        <v>3545</v>
      </c>
      <c r="E529" s="63" t="s">
        <v>3546</v>
      </c>
      <c r="F529" s="63" t="s">
        <v>2218</v>
      </c>
      <c r="G529" s="63" t="s">
        <v>3547</v>
      </c>
      <c r="H529" s="63" t="s">
        <v>18</v>
      </c>
      <c r="I529" s="63" t="s">
        <v>750</v>
      </c>
    </row>
    <row r="530" ht="11.25" customHeight="1">
      <c r="A530" s="63" t="s">
        <v>2167</v>
      </c>
      <c r="B530" s="63" t="s">
        <v>14</v>
      </c>
      <c r="C530" s="63" t="s">
        <v>3548</v>
      </c>
      <c r="D530" s="63" t="s">
        <v>3549</v>
      </c>
      <c r="E530" s="63" t="s">
        <v>3550</v>
      </c>
      <c r="F530" s="63" t="s">
        <v>2256</v>
      </c>
      <c r="G530" s="63" t="s">
        <v>18</v>
      </c>
      <c r="H530" s="63" t="s">
        <v>18</v>
      </c>
      <c r="I530" s="63" t="s">
        <v>750</v>
      </c>
    </row>
    <row r="531" ht="11.25" customHeight="1">
      <c r="A531" s="63" t="s">
        <v>2167</v>
      </c>
      <c r="B531" s="63" t="s">
        <v>14</v>
      </c>
      <c r="C531" s="63" t="s">
        <v>3551</v>
      </c>
      <c r="D531" s="63" t="s">
        <v>3552</v>
      </c>
      <c r="E531" s="63" t="s">
        <v>3553</v>
      </c>
      <c r="F531" s="63" t="s">
        <v>2380</v>
      </c>
      <c r="G531" s="63" t="s">
        <v>3554</v>
      </c>
      <c r="H531" s="63" t="s">
        <v>18</v>
      </c>
      <c r="I531" s="63" t="s">
        <v>750</v>
      </c>
    </row>
    <row r="532" ht="11.25" customHeight="1">
      <c r="A532" s="63" t="s">
        <v>2167</v>
      </c>
      <c r="B532" s="63" t="s">
        <v>14</v>
      </c>
      <c r="C532" s="63" t="s">
        <v>2404</v>
      </c>
      <c r="D532" s="63" t="s">
        <v>2405</v>
      </c>
      <c r="E532" s="63" t="s">
        <v>2406</v>
      </c>
      <c r="F532" s="63" t="s">
        <v>2249</v>
      </c>
      <c r="G532" s="63" t="s">
        <v>18</v>
      </c>
      <c r="H532" s="63" t="s">
        <v>18</v>
      </c>
      <c r="I532" s="63" t="s">
        <v>750</v>
      </c>
    </row>
    <row r="533" ht="11.25" customHeight="1">
      <c r="A533" s="63" t="s">
        <v>2167</v>
      </c>
      <c r="B533" s="63" t="s">
        <v>14</v>
      </c>
      <c r="C533" s="63" t="s">
        <v>3555</v>
      </c>
      <c r="D533" s="63" t="s">
        <v>3556</v>
      </c>
      <c r="E533" s="63" t="s">
        <v>3557</v>
      </c>
      <c r="F533" s="63" t="s">
        <v>2426</v>
      </c>
      <c r="G533" s="63" t="s">
        <v>18</v>
      </c>
      <c r="H533" s="63" t="s">
        <v>18</v>
      </c>
      <c r="I533" s="63" t="s">
        <v>750</v>
      </c>
    </row>
    <row r="534" ht="11.25" customHeight="1">
      <c r="A534" s="63" t="s">
        <v>2167</v>
      </c>
      <c r="B534" s="63" t="s">
        <v>14</v>
      </c>
      <c r="C534" s="63" t="s">
        <v>3558</v>
      </c>
      <c r="D534" s="63" t="s">
        <v>3559</v>
      </c>
      <c r="E534" s="63" t="s">
        <v>3560</v>
      </c>
      <c r="F534" s="63" t="s">
        <v>2426</v>
      </c>
      <c r="G534" s="63" t="s">
        <v>18</v>
      </c>
      <c r="H534" s="63" t="s">
        <v>18</v>
      </c>
      <c r="I534" s="63" t="s">
        <v>750</v>
      </c>
    </row>
    <row r="535" ht="11.25" customHeight="1">
      <c r="A535" s="63" t="s">
        <v>2167</v>
      </c>
      <c r="B535" s="63" t="s">
        <v>14</v>
      </c>
      <c r="C535" s="63" t="s">
        <v>3561</v>
      </c>
      <c r="D535" s="63" t="s">
        <v>3562</v>
      </c>
      <c r="E535" s="63" t="s">
        <v>3563</v>
      </c>
      <c r="F535" s="63" t="s">
        <v>2307</v>
      </c>
      <c r="G535" s="63" t="s">
        <v>3564</v>
      </c>
      <c r="H535" s="63" t="s">
        <v>18</v>
      </c>
      <c r="I535" s="63" t="s">
        <v>750</v>
      </c>
    </row>
    <row r="536" ht="11.25" customHeight="1">
      <c r="A536" s="63" t="s">
        <v>2167</v>
      </c>
      <c r="B536" s="63" t="s">
        <v>14</v>
      </c>
      <c r="C536" s="63" t="s">
        <v>2407</v>
      </c>
      <c r="D536" s="63" t="s">
        <v>2408</v>
      </c>
      <c r="E536" s="63" t="s">
        <v>2409</v>
      </c>
      <c r="F536" s="63" t="s">
        <v>2214</v>
      </c>
      <c r="G536" s="63" t="s">
        <v>18</v>
      </c>
      <c r="H536" s="63" t="s">
        <v>18</v>
      </c>
      <c r="I536" s="63" t="s">
        <v>750</v>
      </c>
    </row>
    <row r="537" ht="11.25" customHeight="1">
      <c r="A537" s="63" t="s">
        <v>2167</v>
      </c>
      <c r="B537" s="63" t="s">
        <v>14</v>
      </c>
      <c r="C537" s="63" t="s">
        <v>3565</v>
      </c>
      <c r="D537" s="63" t="s">
        <v>3566</v>
      </c>
      <c r="E537" s="63" t="s">
        <v>3567</v>
      </c>
      <c r="F537" s="63" t="s">
        <v>2426</v>
      </c>
      <c r="G537" s="63" t="s">
        <v>18</v>
      </c>
      <c r="H537" s="63" t="s">
        <v>18</v>
      </c>
      <c r="I537" s="63" t="s">
        <v>750</v>
      </c>
    </row>
    <row r="538" ht="11.25" customHeight="1">
      <c r="A538" s="63" t="s">
        <v>2167</v>
      </c>
      <c r="B538" s="63" t="s">
        <v>14</v>
      </c>
      <c r="C538" s="63" t="s">
        <v>3568</v>
      </c>
      <c r="D538" s="63" t="s">
        <v>3569</v>
      </c>
      <c r="E538" s="63" t="s">
        <v>3570</v>
      </c>
      <c r="F538" s="63" t="s">
        <v>2249</v>
      </c>
      <c r="G538" s="63" t="s">
        <v>3571</v>
      </c>
      <c r="H538" s="63" t="s">
        <v>18</v>
      </c>
      <c r="I538" s="63" t="s">
        <v>750</v>
      </c>
    </row>
    <row r="539" ht="11.25" customHeight="1">
      <c r="A539" s="63" t="s">
        <v>2167</v>
      </c>
      <c r="B539" s="63" t="s">
        <v>14</v>
      </c>
      <c r="C539" s="63" t="s">
        <v>3572</v>
      </c>
      <c r="D539" s="63" t="s">
        <v>3573</v>
      </c>
      <c r="E539" s="63" t="s">
        <v>3574</v>
      </c>
      <c r="F539" s="63" t="s">
        <v>2598</v>
      </c>
      <c r="G539" s="63" t="s">
        <v>18</v>
      </c>
      <c r="H539" s="63" t="s">
        <v>18</v>
      </c>
      <c r="I539" s="63" t="s">
        <v>750</v>
      </c>
    </row>
    <row r="540" ht="11.25" customHeight="1">
      <c r="A540" s="63" t="s">
        <v>2167</v>
      </c>
      <c r="B540" s="63" t="s">
        <v>14</v>
      </c>
      <c r="C540" s="63" t="s">
        <v>3575</v>
      </c>
      <c r="D540" s="63" t="s">
        <v>3576</v>
      </c>
      <c r="E540" s="63" t="s">
        <v>3577</v>
      </c>
      <c r="F540" s="63" t="s">
        <v>3466</v>
      </c>
      <c r="G540" s="63" t="s">
        <v>3578</v>
      </c>
      <c r="H540" s="63" t="s">
        <v>18</v>
      </c>
      <c r="I540" s="63" t="s">
        <v>750</v>
      </c>
    </row>
    <row r="541" ht="11.25" customHeight="1">
      <c r="A541" s="63" t="s">
        <v>2167</v>
      </c>
      <c r="B541" s="63" t="s">
        <v>14</v>
      </c>
      <c r="C541" s="63" t="s">
        <v>3579</v>
      </c>
      <c r="D541" s="63" t="s">
        <v>3580</v>
      </c>
      <c r="E541" s="63" t="s">
        <v>3581</v>
      </c>
      <c r="F541" s="63" t="s">
        <v>2493</v>
      </c>
      <c r="G541" s="63" t="s">
        <v>18</v>
      </c>
      <c r="H541" s="63" t="s">
        <v>18</v>
      </c>
      <c r="I541" s="63" t="s">
        <v>750</v>
      </c>
    </row>
    <row r="542" ht="11.25" customHeight="1">
      <c r="A542" s="63" t="s">
        <v>2167</v>
      </c>
      <c r="B542" s="63" t="s">
        <v>14</v>
      </c>
      <c r="C542" s="63" t="s">
        <v>3582</v>
      </c>
      <c r="D542" s="63" t="s">
        <v>3583</v>
      </c>
      <c r="E542" s="63" t="s">
        <v>3584</v>
      </c>
      <c r="F542" s="63" t="s">
        <v>2622</v>
      </c>
      <c r="G542" s="63" t="s">
        <v>18</v>
      </c>
      <c r="H542" s="63" t="s">
        <v>18</v>
      </c>
      <c r="I542" s="63" t="s">
        <v>750</v>
      </c>
    </row>
    <row r="543" ht="11.25" customHeight="1">
      <c r="A543" s="63" t="s">
        <v>2167</v>
      </c>
      <c r="B543" s="63" t="s">
        <v>14</v>
      </c>
      <c r="C543" s="63" t="s">
        <v>2418</v>
      </c>
      <c r="D543" s="63" t="s">
        <v>2419</v>
      </c>
      <c r="E543" s="63" t="s">
        <v>2420</v>
      </c>
      <c r="F543" s="63" t="s">
        <v>2421</v>
      </c>
      <c r="G543" s="63" t="s">
        <v>2422</v>
      </c>
      <c r="H543" s="63" t="s">
        <v>18</v>
      </c>
      <c r="I543" s="63" t="s">
        <v>750</v>
      </c>
    </row>
    <row r="544" ht="11.25" customHeight="1">
      <c r="A544" s="63" t="s">
        <v>2167</v>
      </c>
      <c r="B544" s="63" t="s">
        <v>14</v>
      </c>
      <c r="C544" s="63" t="s">
        <v>2423</v>
      </c>
      <c r="D544" s="63" t="s">
        <v>2424</v>
      </c>
      <c r="E544" s="63" t="s">
        <v>2425</v>
      </c>
      <c r="F544" s="63" t="s">
        <v>2426</v>
      </c>
      <c r="G544" s="63" t="s">
        <v>2422</v>
      </c>
      <c r="H544" s="63" t="s">
        <v>18</v>
      </c>
      <c r="I544" s="63" t="s">
        <v>750</v>
      </c>
    </row>
    <row r="545" ht="11.25" customHeight="1">
      <c r="A545" s="63" t="s">
        <v>2167</v>
      </c>
      <c r="B545" s="63" t="s">
        <v>14</v>
      </c>
      <c r="C545" s="63" t="s">
        <v>3585</v>
      </c>
      <c r="D545" s="63" t="s">
        <v>3586</v>
      </c>
      <c r="E545" s="63" t="s">
        <v>3587</v>
      </c>
      <c r="F545" s="63" t="s">
        <v>2245</v>
      </c>
      <c r="G545" s="63" t="s">
        <v>3588</v>
      </c>
      <c r="H545" s="63" t="s">
        <v>18</v>
      </c>
      <c r="I545" s="63" t="s">
        <v>750</v>
      </c>
    </row>
    <row r="546" ht="11.25" customHeight="1">
      <c r="A546" s="63" t="s">
        <v>2167</v>
      </c>
      <c r="B546" s="63" t="s">
        <v>14</v>
      </c>
      <c r="C546" s="63" t="s">
        <v>3589</v>
      </c>
      <c r="D546" s="63" t="s">
        <v>3590</v>
      </c>
      <c r="E546" s="63" t="s">
        <v>3591</v>
      </c>
      <c r="F546" s="63" t="s">
        <v>2413</v>
      </c>
      <c r="G546" s="63" t="s">
        <v>3346</v>
      </c>
      <c r="H546" s="63" t="s">
        <v>18</v>
      </c>
      <c r="I546" s="63" t="s">
        <v>750</v>
      </c>
    </row>
    <row r="547" ht="11.25" customHeight="1">
      <c r="A547" s="63" t="s">
        <v>2167</v>
      </c>
      <c r="B547" s="63" t="s">
        <v>14</v>
      </c>
      <c r="C547" s="63" t="s">
        <v>3592</v>
      </c>
      <c r="D547" s="63" t="s">
        <v>3593</v>
      </c>
      <c r="E547" s="63" t="s">
        <v>3594</v>
      </c>
      <c r="F547" s="63" t="s">
        <v>2413</v>
      </c>
      <c r="G547" s="63" t="s">
        <v>3595</v>
      </c>
      <c r="H547" s="63" t="s">
        <v>18</v>
      </c>
      <c r="I547" s="63" t="s">
        <v>750</v>
      </c>
    </row>
    <row r="548" ht="11.25" customHeight="1">
      <c r="A548" s="63" t="s">
        <v>2167</v>
      </c>
      <c r="B548" s="63" t="s">
        <v>14</v>
      </c>
      <c r="C548" s="63" t="s">
        <v>3596</v>
      </c>
      <c r="D548" s="63" t="s">
        <v>3597</v>
      </c>
      <c r="E548" s="63" t="s">
        <v>3598</v>
      </c>
      <c r="F548" s="63" t="s">
        <v>557</v>
      </c>
      <c r="G548" s="63" t="s">
        <v>3599</v>
      </c>
      <c r="H548" s="63" t="s">
        <v>18</v>
      </c>
      <c r="I548" s="63" t="s">
        <v>750</v>
      </c>
    </row>
    <row r="549" ht="11.25" customHeight="1">
      <c r="A549" s="63" t="s">
        <v>2167</v>
      </c>
      <c r="B549" s="63" t="s">
        <v>14</v>
      </c>
      <c r="C549" s="63" t="s">
        <v>2431</v>
      </c>
      <c r="D549" s="63" t="s">
        <v>2432</v>
      </c>
      <c r="E549" s="63" t="s">
        <v>2433</v>
      </c>
      <c r="F549" s="63" t="s">
        <v>557</v>
      </c>
      <c r="G549" s="63" t="s">
        <v>2434</v>
      </c>
      <c r="H549" s="63" t="s">
        <v>18</v>
      </c>
      <c r="I549" s="63" t="s">
        <v>750</v>
      </c>
    </row>
    <row r="550" ht="11.25" customHeight="1">
      <c r="A550" s="63" t="s">
        <v>2167</v>
      </c>
      <c r="B550" s="63" t="s">
        <v>14</v>
      </c>
      <c r="C550" s="63" t="s">
        <v>3600</v>
      </c>
      <c r="D550" s="63" t="s">
        <v>3601</v>
      </c>
      <c r="E550" s="63" t="s">
        <v>3602</v>
      </c>
      <c r="F550" s="63" t="s">
        <v>557</v>
      </c>
      <c r="G550" s="63" t="s">
        <v>3603</v>
      </c>
      <c r="H550" s="63" t="s">
        <v>18</v>
      </c>
      <c r="I550" s="63" t="s">
        <v>750</v>
      </c>
    </row>
    <row r="551" ht="11.25" customHeight="1">
      <c r="A551" s="63" t="s">
        <v>2167</v>
      </c>
      <c r="B551" s="63" t="s">
        <v>14</v>
      </c>
      <c r="C551" s="63" t="s">
        <v>3604</v>
      </c>
      <c r="D551" s="63" t="s">
        <v>3605</v>
      </c>
      <c r="E551" s="63" t="s">
        <v>3606</v>
      </c>
      <c r="F551" s="63" t="s">
        <v>557</v>
      </c>
      <c r="G551" s="63" t="s">
        <v>3607</v>
      </c>
      <c r="H551" s="63" t="s">
        <v>18</v>
      </c>
      <c r="I551" s="63" t="s">
        <v>750</v>
      </c>
    </row>
    <row r="552" ht="11.25" customHeight="1">
      <c r="A552" s="63" t="s">
        <v>2167</v>
      </c>
      <c r="B552" s="63" t="s">
        <v>14</v>
      </c>
      <c r="C552" s="63" t="s">
        <v>3608</v>
      </c>
      <c r="D552" s="63" t="s">
        <v>3609</v>
      </c>
      <c r="E552" s="63" t="s">
        <v>3610</v>
      </c>
      <c r="F552" s="63" t="s">
        <v>557</v>
      </c>
      <c r="G552" s="63" t="s">
        <v>3611</v>
      </c>
      <c r="H552" s="63" t="s">
        <v>18</v>
      </c>
      <c r="I552" s="63" t="s">
        <v>750</v>
      </c>
    </row>
    <row r="553" ht="11.25" customHeight="1">
      <c r="A553" s="63" t="s">
        <v>2167</v>
      </c>
      <c r="B553" s="63" t="s">
        <v>14</v>
      </c>
      <c r="C553" s="63" t="s">
        <v>3612</v>
      </c>
      <c r="D553" s="63" t="s">
        <v>3613</v>
      </c>
      <c r="E553" s="63" t="s">
        <v>3614</v>
      </c>
      <c r="F553" s="63" t="s">
        <v>557</v>
      </c>
      <c r="G553" s="63" t="s">
        <v>3615</v>
      </c>
      <c r="H553" s="63" t="s">
        <v>18</v>
      </c>
      <c r="I553" s="63" t="s">
        <v>750</v>
      </c>
    </row>
    <row r="554" ht="11.25" customHeight="1">
      <c r="A554" s="63" t="s">
        <v>2167</v>
      </c>
      <c r="B554" s="63" t="s">
        <v>14</v>
      </c>
      <c r="C554" s="63" t="s">
        <v>2443</v>
      </c>
      <c r="D554" s="63" t="s">
        <v>2444</v>
      </c>
      <c r="E554" s="63" t="s">
        <v>2445</v>
      </c>
      <c r="F554" s="63" t="s">
        <v>557</v>
      </c>
      <c r="G554" s="63" t="s">
        <v>2446</v>
      </c>
      <c r="H554" s="63" t="s">
        <v>18</v>
      </c>
      <c r="I554" s="63" t="s">
        <v>750</v>
      </c>
    </row>
    <row r="555" ht="11.25" customHeight="1">
      <c r="A555" s="63" t="s">
        <v>2167</v>
      </c>
      <c r="B555" s="63" t="s">
        <v>14</v>
      </c>
      <c r="C555" s="63" t="s">
        <v>3616</v>
      </c>
      <c r="D555" s="63" t="s">
        <v>3617</v>
      </c>
      <c r="E555" s="63" t="s">
        <v>3618</v>
      </c>
      <c r="F555" s="63" t="s">
        <v>557</v>
      </c>
      <c r="G555" s="63" t="s">
        <v>3619</v>
      </c>
      <c r="H555" s="63" t="s">
        <v>3620</v>
      </c>
      <c r="I555" s="63" t="s">
        <v>750</v>
      </c>
    </row>
    <row r="556" ht="11.25" customHeight="1">
      <c r="A556" s="63" t="s">
        <v>2167</v>
      </c>
      <c r="B556" s="63" t="s">
        <v>14</v>
      </c>
      <c r="C556" s="63" t="s">
        <v>3621</v>
      </c>
      <c r="D556" s="63" t="s">
        <v>3622</v>
      </c>
      <c r="E556" s="63" t="s">
        <v>3623</v>
      </c>
      <c r="F556" s="63" t="s">
        <v>2180</v>
      </c>
      <c r="G556" s="63" t="s">
        <v>3624</v>
      </c>
      <c r="H556" s="63" t="s">
        <v>18</v>
      </c>
      <c r="I556" s="63" t="s">
        <v>750</v>
      </c>
    </row>
    <row r="557" ht="11.25" customHeight="1">
      <c r="A557" s="63" t="s">
        <v>2167</v>
      </c>
      <c r="B557" s="63" t="s">
        <v>14</v>
      </c>
      <c r="C557" s="63" t="s">
        <v>3625</v>
      </c>
      <c r="D557" s="63" t="s">
        <v>3626</v>
      </c>
      <c r="E557" s="63" t="s">
        <v>3627</v>
      </c>
      <c r="F557" s="63" t="s">
        <v>3628</v>
      </c>
      <c r="G557" s="63" t="s">
        <v>18</v>
      </c>
      <c r="H557" s="63" t="s">
        <v>18</v>
      </c>
      <c r="I557" s="63" t="s">
        <v>750</v>
      </c>
    </row>
    <row r="558" ht="11.25" customHeight="1">
      <c r="A558" s="63" t="s">
        <v>2167</v>
      </c>
      <c r="B558" s="63" t="s">
        <v>14</v>
      </c>
      <c r="C558" s="63" t="s">
        <v>3629</v>
      </c>
      <c r="D558" s="63" t="s">
        <v>3630</v>
      </c>
      <c r="E558" s="63" t="s">
        <v>3631</v>
      </c>
      <c r="F558" s="63" t="s">
        <v>2180</v>
      </c>
      <c r="G558" s="63" t="s">
        <v>3455</v>
      </c>
      <c r="H558" s="63" t="s">
        <v>18</v>
      </c>
      <c r="I558" s="63" t="s">
        <v>750</v>
      </c>
    </row>
    <row r="559" ht="11.25" customHeight="1">
      <c r="A559" s="63" t="s">
        <v>2167</v>
      </c>
      <c r="B559" s="63" t="s">
        <v>14</v>
      </c>
      <c r="C559" s="63" t="s">
        <v>3632</v>
      </c>
      <c r="D559" s="63" t="s">
        <v>3633</v>
      </c>
      <c r="E559" s="63" t="s">
        <v>3634</v>
      </c>
      <c r="F559" s="63" t="s">
        <v>2622</v>
      </c>
      <c r="G559" s="63" t="s">
        <v>18</v>
      </c>
      <c r="H559" s="63" t="s">
        <v>18</v>
      </c>
      <c r="I559" s="63" t="s">
        <v>750</v>
      </c>
    </row>
    <row r="560" ht="11.25" customHeight="1">
      <c r="A560" s="63" t="s">
        <v>2167</v>
      </c>
      <c r="B560" s="63" t="s">
        <v>14</v>
      </c>
      <c r="C560" s="63" t="s">
        <v>3635</v>
      </c>
      <c r="D560" s="63" t="s">
        <v>3636</v>
      </c>
      <c r="E560" s="63" t="s">
        <v>3637</v>
      </c>
      <c r="F560" s="63" t="s">
        <v>2898</v>
      </c>
      <c r="G560" s="63" t="s">
        <v>3638</v>
      </c>
      <c r="H560" s="63" t="s">
        <v>18</v>
      </c>
      <c r="I560" s="63" t="s">
        <v>750</v>
      </c>
    </row>
    <row r="561" ht="11.25" customHeight="1">
      <c r="A561" s="63" t="s">
        <v>2167</v>
      </c>
      <c r="B561" s="63" t="s">
        <v>14</v>
      </c>
      <c r="C561" s="63" t="s">
        <v>3639</v>
      </c>
      <c r="D561" s="63" t="s">
        <v>3640</v>
      </c>
      <c r="E561" s="63" t="s">
        <v>3641</v>
      </c>
      <c r="F561" s="63" t="s">
        <v>2522</v>
      </c>
      <c r="G561" s="63" t="s">
        <v>3642</v>
      </c>
      <c r="H561" s="63" t="s">
        <v>18</v>
      </c>
      <c r="I561" s="63" t="s">
        <v>750</v>
      </c>
    </row>
    <row r="562" ht="11.25" customHeight="1">
      <c r="A562" s="63" t="s">
        <v>2167</v>
      </c>
      <c r="B562" s="63" t="s">
        <v>14</v>
      </c>
      <c r="C562" s="63" t="s">
        <v>3643</v>
      </c>
      <c r="D562" s="63" t="s">
        <v>3644</v>
      </c>
      <c r="E562" s="63" t="s">
        <v>3645</v>
      </c>
      <c r="F562" s="63" t="s">
        <v>2269</v>
      </c>
      <c r="G562" s="63" t="s">
        <v>2828</v>
      </c>
      <c r="H562" s="63" t="s">
        <v>18</v>
      </c>
      <c r="I562" s="63" t="s">
        <v>750</v>
      </c>
    </row>
    <row r="563" ht="11.25" customHeight="1">
      <c r="A563" s="63" t="s">
        <v>2167</v>
      </c>
      <c r="B563" s="63" t="s">
        <v>14</v>
      </c>
      <c r="C563" s="63" t="s">
        <v>3646</v>
      </c>
      <c r="D563" s="63" t="s">
        <v>3647</v>
      </c>
      <c r="E563" s="63" t="s">
        <v>3648</v>
      </c>
      <c r="F563" s="63" t="s">
        <v>2269</v>
      </c>
      <c r="G563" s="63" t="s">
        <v>3649</v>
      </c>
      <c r="H563" s="63" t="s">
        <v>18</v>
      </c>
      <c r="I563" s="63" t="s">
        <v>750</v>
      </c>
    </row>
    <row r="564" ht="11.25" customHeight="1">
      <c r="A564" s="63" t="s">
        <v>2167</v>
      </c>
      <c r="B564" s="63" t="s">
        <v>14</v>
      </c>
      <c r="C564" s="63" t="s">
        <v>3650</v>
      </c>
      <c r="D564" s="63" t="s">
        <v>3651</v>
      </c>
      <c r="E564" s="63" t="s">
        <v>3652</v>
      </c>
      <c r="F564" s="63" t="s">
        <v>3496</v>
      </c>
      <c r="G564" s="63" t="s">
        <v>3653</v>
      </c>
      <c r="H564" s="63" t="s">
        <v>18</v>
      </c>
      <c r="I564" s="63" t="s">
        <v>750</v>
      </c>
    </row>
    <row r="565" ht="11.25" customHeight="1">
      <c r="A565" s="63" t="s">
        <v>2167</v>
      </c>
      <c r="B565" s="63" t="s">
        <v>14</v>
      </c>
      <c r="C565" s="63" t="s">
        <v>3654</v>
      </c>
      <c r="D565" s="63" t="s">
        <v>3655</v>
      </c>
      <c r="E565" s="63" t="s">
        <v>3656</v>
      </c>
      <c r="F565" s="63" t="s">
        <v>2269</v>
      </c>
      <c r="G565" s="63" t="s">
        <v>3657</v>
      </c>
      <c r="H565" s="63" t="s">
        <v>18</v>
      </c>
      <c r="I565" s="63" t="s">
        <v>750</v>
      </c>
    </row>
    <row r="566" ht="11.25" customHeight="1">
      <c r="A566" s="63" t="s">
        <v>2167</v>
      </c>
      <c r="B566" s="63" t="s">
        <v>14</v>
      </c>
      <c r="C566" s="63" t="s">
        <v>3658</v>
      </c>
      <c r="D566" s="63" t="s">
        <v>3659</v>
      </c>
      <c r="E566" s="63" t="s">
        <v>3660</v>
      </c>
      <c r="F566" s="63" t="s">
        <v>2370</v>
      </c>
      <c r="G566" s="63" t="s">
        <v>3661</v>
      </c>
      <c r="H566" s="63" t="s">
        <v>18</v>
      </c>
      <c r="I566" s="63" t="s">
        <v>750</v>
      </c>
    </row>
    <row r="567" ht="11.25" customHeight="1">
      <c r="A567" s="63" t="s">
        <v>2167</v>
      </c>
      <c r="B567" s="63" t="s">
        <v>14</v>
      </c>
      <c r="C567" s="63" t="s">
        <v>3662</v>
      </c>
      <c r="D567" s="63" t="s">
        <v>3663</v>
      </c>
      <c r="E567" s="63" t="s">
        <v>3664</v>
      </c>
      <c r="F567" s="63" t="s">
        <v>2370</v>
      </c>
      <c r="G567" s="63" t="s">
        <v>3665</v>
      </c>
      <c r="H567" s="63" t="s">
        <v>18</v>
      </c>
      <c r="I567" s="63" t="s">
        <v>750</v>
      </c>
    </row>
    <row r="568" ht="11.25" customHeight="1">
      <c r="A568" s="63" t="s">
        <v>2167</v>
      </c>
      <c r="B568" s="63" t="s">
        <v>14</v>
      </c>
      <c r="C568" s="63" t="s">
        <v>3666</v>
      </c>
      <c r="D568" s="63" t="s">
        <v>3667</v>
      </c>
      <c r="E568" s="63" t="s">
        <v>3668</v>
      </c>
      <c r="F568" s="63" t="s">
        <v>2269</v>
      </c>
      <c r="G568" s="63" t="s">
        <v>18</v>
      </c>
      <c r="H568" s="63" t="s">
        <v>18</v>
      </c>
      <c r="I568" s="63" t="s">
        <v>750</v>
      </c>
    </row>
    <row r="569" ht="11.25" customHeight="1">
      <c r="A569" s="63" t="s">
        <v>2167</v>
      </c>
      <c r="B569" s="63" t="s">
        <v>14</v>
      </c>
      <c r="C569" s="63" t="s">
        <v>3669</v>
      </c>
      <c r="D569" s="63" t="s">
        <v>3670</v>
      </c>
      <c r="E569" s="63" t="s">
        <v>3671</v>
      </c>
      <c r="F569" s="63" t="s">
        <v>2370</v>
      </c>
      <c r="G569" s="63" t="s">
        <v>3672</v>
      </c>
      <c r="H569" s="63" t="s">
        <v>18</v>
      </c>
      <c r="I569" s="63" t="s">
        <v>750</v>
      </c>
    </row>
    <row r="570" ht="11.25" customHeight="1">
      <c r="A570" s="63" t="s">
        <v>2167</v>
      </c>
      <c r="B570" s="63" t="s">
        <v>14</v>
      </c>
      <c r="C570" s="63" t="s">
        <v>3673</v>
      </c>
      <c r="D570" s="63" t="s">
        <v>3674</v>
      </c>
      <c r="E570" s="63" t="s">
        <v>3675</v>
      </c>
      <c r="F570" s="63" t="s">
        <v>2269</v>
      </c>
      <c r="G570" s="63" t="s">
        <v>2786</v>
      </c>
      <c r="H570" s="63" t="s">
        <v>18</v>
      </c>
      <c r="I570" s="63" t="s">
        <v>750</v>
      </c>
    </row>
    <row r="571" ht="11.25" customHeight="1">
      <c r="A571" s="63" t="s">
        <v>2167</v>
      </c>
      <c r="B571" s="63" t="s">
        <v>14</v>
      </c>
      <c r="C571" s="63" t="s">
        <v>3676</v>
      </c>
      <c r="D571" s="63" t="s">
        <v>3677</v>
      </c>
      <c r="E571" s="63" t="s">
        <v>3678</v>
      </c>
      <c r="F571" s="63" t="s">
        <v>2269</v>
      </c>
      <c r="G571" s="63" t="s">
        <v>18</v>
      </c>
      <c r="H571" s="63" t="s">
        <v>18</v>
      </c>
      <c r="I571" s="63" t="s">
        <v>750</v>
      </c>
    </row>
    <row r="572" ht="11.25" customHeight="1">
      <c r="A572" s="63" t="s">
        <v>2167</v>
      </c>
      <c r="B572" s="63" t="s">
        <v>14</v>
      </c>
      <c r="C572" s="63" t="s">
        <v>3679</v>
      </c>
      <c r="D572" s="63" t="s">
        <v>3680</v>
      </c>
      <c r="E572" s="63" t="s">
        <v>3681</v>
      </c>
      <c r="F572" s="63" t="s">
        <v>3682</v>
      </c>
      <c r="G572" s="63" t="s">
        <v>3683</v>
      </c>
      <c r="H572" s="63" t="s">
        <v>18</v>
      </c>
      <c r="I572" s="63" t="s">
        <v>750</v>
      </c>
    </row>
    <row r="573" ht="11.25" customHeight="1">
      <c r="A573" s="63" t="s">
        <v>2167</v>
      </c>
      <c r="B573" s="63" t="s">
        <v>14</v>
      </c>
      <c r="C573" s="63" t="s">
        <v>3684</v>
      </c>
      <c r="D573" s="63" t="s">
        <v>3685</v>
      </c>
      <c r="E573" s="63" t="s">
        <v>3686</v>
      </c>
      <c r="F573" s="63" t="s">
        <v>2303</v>
      </c>
      <c r="G573" s="63" t="s">
        <v>3687</v>
      </c>
      <c r="H573" s="63" t="s">
        <v>18</v>
      </c>
      <c r="I573" s="63" t="s">
        <v>750</v>
      </c>
    </row>
    <row r="574" ht="11.25" customHeight="1">
      <c r="A574" s="63" t="s">
        <v>2167</v>
      </c>
      <c r="B574" s="63" t="s">
        <v>14</v>
      </c>
      <c r="C574" s="63" t="s">
        <v>3688</v>
      </c>
      <c r="D574" s="63" t="s">
        <v>3689</v>
      </c>
      <c r="E574" s="63" t="s">
        <v>3690</v>
      </c>
      <c r="F574" s="63" t="s">
        <v>2645</v>
      </c>
      <c r="G574" s="63" t="s">
        <v>3691</v>
      </c>
      <c r="H574" s="63" t="s">
        <v>18</v>
      </c>
      <c r="I574" s="63" t="s">
        <v>750</v>
      </c>
    </row>
    <row r="575" ht="11.25" customHeight="1">
      <c r="A575" s="63" t="s">
        <v>2167</v>
      </c>
      <c r="B575" s="63" t="s">
        <v>14</v>
      </c>
      <c r="C575" s="63" t="s">
        <v>3692</v>
      </c>
      <c r="D575" s="63" t="s">
        <v>3693</v>
      </c>
      <c r="E575" s="63" t="s">
        <v>3694</v>
      </c>
      <c r="F575" s="63" t="s">
        <v>2645</v>
      </c>
      <c r="G575" s="63" t="s">
        <v>3695</v>
      </c>
      <c r="H575" s="63" t="s">
        <v>18</v>
      </c>
      <c r="I575" s="63" t="s">
        <v>750</v>
      </c>
    </row>
    <row r="576" ht="11.25" customHeight="1">
      <c r="A576" s="63" t="s">
        <v>2167</v>
      </c>
      <c r="B576" s="63" t="s">
        <v>14</v>
      </c>
      <c r="C576" s="63" t="s">
        <v>3696</v>
      </c>
      <c r="D576" s="63" t="s">
        <v>3697</v>
      </c>
      <c r="E576" s="63" t="s">
        <v>3698</v>
      </c>
      <c r="F576" s="63" t="s">
        <v>3682</v>
      </c>
      <c r="G576" s="63" t="s">
        <v>3699</v>
      </c>
      <c r="H576" s="63" t="s">
        <v>18</v>
      </c>
      <c r="I576" s="63" t="s">
        <v>750</v>
      </c>
    </row>
    <row r="577" ht="11.25" customHeight="1">
      <c r="A577" s="63" t="s">
        <v>2167</v>
      </c>
      <c r="B577" s="63" t="s">
        <v>14</v>
      </c>
      <c r="C577" s="63" t="s">
        <v>3700</v>
      </c>
      <c r="D577" s="63" t="s">
        <v>3701</v>
      </c>
      <c r="E577" s="63" t="s">
        <v>3702</v>
      </c>
      <c r="F577" s="63" t="s">
        <v>2645</v>
      </c>
      <c r="G577" s="63" t="s">
        <v>3703</v>
      </c>
      <c r="H577" s="63" t="s">
        <v>18</v>
      </c>
      <c r="I577" s="63" t="s">
        <v>750</v>
      </c>
    </row>
    <row r="578" ht="11.25" customHeight="1">
      <c r="A578" s="63" t="s">
        <v>2167</v>
      </c>
      <c r="B578" s="63" t="s">
        <v>14</v>
      </c>
      <c r="C578" s="63" t="s">
        <v>3704</v>
      </c>
      <c r="D578" s="63" t="s">
        <v>3705</v>
      </c>
      <c r="E578" s="63" t="s">
        <v>3706</v>
      </c>
      <c r="F578" s="63" t="s">
        <v>2645</v>
      </c>
      <c r="G578" s="63" t="s">
        <v>3691</v>
      </c>
      <c r="H578" s="63" t="s">
        <v>18</v>
      </c>
      <c r="I578" s="63" t="s">
        <v>750</v>
      </c>
    </row>
    <row r="579" ht="11.25" customHeight="1">
      <c r="A579" s="63" t="s">
        <v>2167</v>
      </c>
      <c r="B579" s="63" t="s">
        <v>14</v>
      </c>
      <c r="C579" s="63" t="s">
        <v>3707</v>
      </c>
      <c r="D579" s="63" t="s">
        <v>3708</v>
      </c>
      <c r="E579" s="63" t="s">
        <v>3709</v>
      </c>
      <c r="F579" s="63" t="s">
        <v>2645</v>
      </c>
      <c r="G579" s="63" t="s">
        <v>3691</v>
      </c>
      <c r="H579" s="63" t="s">
        <v>18</v>
      </c>
      <c r="I579" s="63" t="s">
        <v>750</v>
      </c>
    </row>
    <row r="580" ht="11.25" customHeight="1">
      <c r="A580" s="63" t="s">
        <v>2167</v>
      </c>
      <c r="B580" s="63" t="s">
        <v>14</v>
      </c>
      <c r="C580" s="63" t="s">
        <v>3710</v>
      </c>
      <c r="D580" s="63" t="s">
        <v>3711</v>
      </c>
      <c r="E580" s="63" t="s">
        <v>3712</v>
      </c>
      <c r="F580" s="63" t="s">
        <v>2626</v>
      </c>
      <c r="G580" s="63" t="s">
        <v>3713</v>
      </c>
      <c r="H580" s="63" t="s">
        <v>18</v>
      </c>
      <c r="I580" s="63" t="s">
        <v>750</v>
      </c>
    </row>
    <row r="581" ht="11.25" customHeight="1">
      <c r="A581" s="63" t="s">
        <v>2167</v>
      </c>
      <c r="B581" s="63" t="s">
        <v>14</v>
      </c>
      <c r="C581" s="63" t="s">
        <v>3714</v>
      </c>
      <c r="D581" s="63" t="s">
        <v>3715</v>
      </c>
      <c r="E581" s="63" t="s">
        <v>3716</v>
      </c>
      <c r="F581" s="63" t="s">
        <v>2303</v>
      </c>
      <c r="G581" s="63" t="s">
        <v>2832</v>
      </c>
      <c r="H581" s="63" t="s">
        <v>18</v>
      </c>
      <c r="I581" s="63" t="s">
        <v>750</v>
      </c>
    </row>
    <row r="582" ht="11.25" customHeight="1">
      <c r="A582" s="63" t="s">
        <v>2167</v>
      </c>
      <c r="B582" s="63" t="s">
        <v>14</v>
      </c>
      <c r="C582" s="63" t="s">
        <v>3717</v>
      </c>
      <c r="D582" s="63" t="s">
        <v>3718</v>
      </c>
      <c r="E582" s="63" t="s">
        <v>3719</v>
      </c>
      <c r="F582" s="63" t="s">
        <v>2522</v>
      </c>
      <c r="G582" s="63" t="s">
        <v>3720</v>
      </c>
      <c r="H582" s="63" t="s">
        <v>18</v>
      </c>
      <c r="I582" s="63" t="s">
        <v>750</v>
      </c>
    </row>
    <row r="583" ht="11.25" customHeight="1">
      <c r="A583" s="63" t="s">
        <v>2167</v>
      </c>
      <c r="B583" s="63" t="s">
        <v>14</v>
      </c>
      <c r="C583" s="63" t="s">
        <v>2466</v>
      </c>
      <c r="D583" s="63" t="s">
        <v>2467</v>
      </c>
      <c r="E583" s="63" t="s">
        <v>2468</v>
      </c>
      <c r="F583" s="63" t="s">
        <v>2469</v>
      </c>
      <c r="G583" s="63" t="s">
        <v>2470</v>
      </c>
      <c r="H583" s="63" t="s">
        <v>18</v>
      </c>
      <c r="I583" s="63" t="s">
        <v>750</v>
      </c>
    </row>
    <row r="584" ht="11.25" customHeight="1">
      <c r="A584" s="63" t="s">
        <v>2167</v>
      </c>
      <c r="B584" s="63" t="s">
        <v>14</v>
      </c>
      <c r="C584" s="63" t="s">
        <v>3721</v>
      </c>
      <c r="D584" s="63" t="s">
        <v>3722</v>
      </c>
      <c r="E584" s="63" t="s">
        <v>3723</v>
      </c>
      <c r="F584" s="63" t="s">
        <v>2469</v>
      </c>
      <c r="G584" s="63" t="s">
        <v>3724</v>
      </c>
      <c r="H584" s="63" t="s">
        <v>18</v>
      </c>
      <c r="I584" s="63" t="s">
        <v>750</v>
      </c>
    </row>
    <row r="585" ht="11.25" customHeight="1">
      <c r="A585" s="63" t="s">
        <v>2167</v>
      </c>
      <c r="B585" s="63" t="s">
        <v>14</v>
      </c>
      <c r="C585" s="63" t="s">
        <v>3725</v>
      </c>
      <c r="D585" s="63" t="s">
        <v>3726</v>
      </c>
      <c r="E585" s="63" t="s">
        <v>3727</v>
      </c>
      <c r="F585" s="63" t="s">
        <v>2469</v>
      </c>
      <c r="G585" s="63" t="s">
        <v>3724</v>
      </c>
      <c r="H585" s="63" t="s">
        <v>18</v>
      </c>
      <c r="I585" s="63" t="s">
        <v>750</v>
      </c>
    </row>
    <row r="586" ht="11.25" customHeight="1">
      <c r="A586" s="63" t="s">
        <v>2167</v>
      </c>
      <c r="B586" s="63" t="s">
        <v>14</v>
      </c>
      <c r="C586" s="63" t="s">
        <v>3728</v>
      </c>
      <c r="D586" s="63" t="s">
        <v>3729</v>
      </c>
      <c r="E586" s="63" t="s">
        <v>3730</v>
      </c>
      <c r="F586" s="63" t="s">
        <v>2469</v>
      </c>
      <c r="G586" s="63" t="s">
        <v>3731</v>
      </c>
      <c r="H586" s="63" t="s">
        <v>18</v>
      </c>
      <c r="I586" s="63" t="s">
        <v>750</v>
      </c>
    </row>
    <row r="587" ht="11.25" customHeight="1">
      <c r="A587" s="63" t="s">
        <v>2167</v>
      </c>
      <c r="B587" s="63" t="s">
        <v>14</v>
      </c>
      <c r="C587" s="63" t="s">
        <v>3732</v>
      </c>
      <c r="D587" s="63" t="s">
        <v>3733</v>
      </c>
      <c r="E587" s="63" t="s">
        <v>3734</v>
      </c>
      <c r="F587" s="63" t="s">
        <v>2557</v>
      </c>
      <c r="G587" s="63" t="s">
        <v>3735</v>
      </c>
      <c r="H587" s="63" t="s">
        <v>18</v>
      </c>
      <c r="I587" s="63" t="s">
        <v>750</v>
      </c>
    </row>
    <row r="588" ht="11.25" customHeight="1">
      <c r="A588" s="63" t="s">
        <v>2167</v>
      </c>
      <c r="B588" s="63" t="s">
        <v>14</v>
      </c>
      <c r="C588" s="63" t="s">
        <v>3736</v>
      </c>
      <c r="D588" s="63" t="s">
        <v>3737</v>
      </c>
      <c r="E588" s="63" t="s">
        <v>3738</v>
      </c>
      <c r="F588" s="63" t="s">
        <v>2413</v>
      </c>
      <c r="G588" s="63" t="s">
        <v>3739</v>
      </c>
      <c r="H588" s="63" t="s">
        <v>18</v>
      </c>
      <c r="I588" s="63" t="s">
        <v>750</v>
      </c>
    </row>
    <row r="589" ht="11.25" customHeight="1">
      <c r="A589" s="63" t="s">
        <v>2167</v>
      </c>
      <c r="B589" s="63" t="s">
        <v>14</v>
      </c>
      <c r="C589" s="63" t="s">
        <v>2480</v>
      </c>
      <c r="D589" s="63" t="s">
        <v>2481</v>
      </c>
      <c r="E589" s="63" t="s">
        <v>2482</v>
      </c>
      <c r="F589" s="63" t="s">
        <v>2483</v>
      </c>
      <c r="G589" s="63" t="s">
        <v>18</v>
      </c>
      <c r="H589" s="63" t="s">
        <v>18</v>
      </c>
      <c r="I589" s="63" t="s">
        <v>750</v>
      </c>
    </row>
    <row r="590" ht="11.25" customHeight="1">
      <c r="A590" s="63" t="s">
        <v>2167</v>
      </c>
      <c r="B590" s="63" t="s">
        <v>14</v>
      </c>
      <c r="C590" s="63" t="s">
        <v>2484</v>
      </c>
      <c r="D590" s="63" t="s">
        <v>2485</v>
      </c>
      <c r="E590" s="63" t="s">
        <v>2486</v>
      </c>
      <c r="F590" s="63" t="s">
        <v>2483</v>
      </c>
      <c r="G590" s="63" t="s">
        <v>18</v>
      </c>
      <c r="H590" s="63" t="s">
        <v>18</v>
      </c>
      <c r="I590" s="63" t="s">
        <v>750</v>
      </c>
    </row>
    <row r="591" ht="11.25" customHeight="1">
      <c r="A591" s="63" t="s">
        <v>2167</v>
      </c>
      <c r="B591" s="63" t="s">
        <v>14</v>
      </c>
      <c r="C591" s="63" t="s">
        <v>2487</v>
      </c>
      <c r="D591" s="63" t="s">
        <v>2488</v>
      </c>
      <c r="E591" s="63" t="s">
        <v>2489</v>
      </c>
      <c r="F591" s="63" t="s">
        <v>2203</v>
      </c>
      <c r="G591" s="63" t="s">
        <v>18</v>
      </c>
      <c r="H591" s="63" t="s">
        <v>18</v>
      </c>
      <c r="I591" s="63" t="s">
        <v>750</v>
      </c>
    </row>
    <row r="592" ht="11.25" customHeight="1">
      <c r="A592" s="63" t="s">
        <v>2167</v>
      </c>
      <c r="B592" s="63" t="s">
        <v>14</v>
      </c>
      <c r="C592" s="63" t="s">
        <v>2490</v>
      </c>
      <c r="D592" s="63" t="s">
        <v>2491</v>
      </c>
      <c r="E592" s="63" t="s">
        <v>2492</v>
      </c>
      <c r="F592" s="63" t="s">
        <v>2493</v>
      </c>
      <c r="G592" s="63" t="s">
        <v>18</v>
      </c>
      <c r="H592" s="63" t="s">
        <v>18</v>
      </c>
      <c r="I592" s="63" t="s">
        <v>750</v>
      </c>
    </row>
    <row r="593" ht="11.25" customHeight="1">
      <c r="A593" s="63" t="s">
        <v>2167</v>
      </c>
      <c r="B593" s="63" t="s">
        <v>14</v>
      </c>
      <c r="C593" s="63" t="s">
        <v>3740</v>
      </c>
      <c r="D593" s="63" t="s">
        <v>3741</v>
      </c>
      <c r="E593" s="63" t="s">
        <v>3742</v>
      </c>
      <c r="F593" s="63" t="s">
        <v>2469</v>
      </c>
      <c r="G593" s="63" t="s">
        <v>3743</v>
      </c>
      <c r="H593" s="63" t="s">
        <v>18</v>
      </c>
      <c r="I593" s="63" t="s">
        <v>750</v>
      </c>
    </row>
    <row r="594" ht="11.25" customHeight="1">
      <c r="A594" s="63" t="s">
        <v>2167</v>
      </c>
      <c r="B594" s="63" t="s">
        <v>14</v>
      </c>
      <c r="C594" s="63" t="s">
        <v>3744</v>
      </c>
      <c r="D594" s="63" t="s">
        <v>3745</v>
      </c>
      <c r="E594" s="63" t="s">
        <v>3746</v>
      </c>
      <c r="F594" s="63" t="s">
        <v>2469</v>
      </c>
      <c r="G594" s="63" t="s">
        <v>3747</v>
      </c>
      <c r="H594" s="63" t="s">
        <v>18</v>
      </c>
      <c r="I594" s="63" t="s">
        <v>750</v>
      </c>
    </row>
    <row r="595" ht="11.25" customHeight="1">
      <c r="A595" s="63" t="s">
        <v>2167</v>
      </c>
      <c r="B595" s="63" t="s">
        <v>14</v>
      </c>
      <c r="C595" s="63" t="s">
        <v>3748</v>
      </c>
      <c r="D595" s="63" t="s">
        <v>3749</v>
      </c>
      <c r="E595" s="63" t="s">
        <v>3750</v>
      </c>
      <c r="F595" s="63" t="s">
        <v>2626</v>
      </c>
      <c r="G595" s="63" t="s">
        <v>18</v>
      </c>
      <c r="H595" s="63" t="s">
        <v>18</v>
      </c>
      <c r="I595" s="63" t="s">
        <v>750</v>
      </c>
    </row>
    <row r="596" ht="11.25" customHeight="1">
      <c r="A596" s="63" t="s">
        <v>2167</v>
      </c>
      <c r="B596" s="63" t="s">
        <v>14</v>
      </c>
      <c r="C596" s="63" t="s">
        <v>3751</v>
      </c>
      <c r="D596" s="63" t="s">
        <v>3752</v>
      </c>
      <c r="E596" s="63" t="s">
        <v>3753</v>
      </c>
      <c r="F596" s="63" t="s">
        <v>2469</v>
      </c>
      <c r="G596" s="63" t="s">
        <v>3754</v>
      </c>
      <c r="H596" s="63" t="s">
        <v>18</v>
      </c>
      <c r="I596" s="63" t="s">
        <v>750</v>
      </c>
    </row>
    <row r="597" ht="11.25" customHeight="1">
      <c r="A597" s="63" t="s">
        <v>2167</v>
      </c>
      <c r="B597" s="63" t="s">
        <v>14</v>
      </c>
      <c r="C597" s="63" t="s">
        <v>2494</v>
      </c>
      <c r="D597" s="63" t="s">
        <v>2495</v>
      </c>
      <c r="E597" s="63" t="s">
        <v>2496</v>
      </c>
      <c r="F597" s="63" t="s">
        <v>2497</v>
      </c>
      <c r="G597" s="63" t="s">
        <v>2498</v>
      </c>
      <c r="H597" s="63" t="s">
        <v>18</v>
      </c>
      <c r="I597" s="63" t="s">
        <v>750</v>
      </c>
    </row>
    <row r="598" ht="11.25" customHeight="1">
      <c r="A598" s="63" t="s">
        <v>2167</v>
      </c>
      <c r="B598" s="63" t="s">
        <v>14</v>
      </c>
      <c r="C598" s="63" t="s">
        <v>3755</v>
      </c>
      <c r="D598" s="63" t="s">
        <v>3756</v>
      </c>
      <c r="E598" s="63" t="s">
        <v>3757</v>
      </c>
      <c r="F598" s="63" t="s">
        <v>2497</v>
      </c>
      <c r="G598" s="63" t="s">
        <v>3758</v>
      </c>
      <c r="H598" s="63" t="s">
        <v>18</v>
      </c>
      <c r="I598" s="63" t="s">
        <v>750</v>
      </c>
    </row>
    <row r="599" ht="11.25" customHeight="1">
      <c r="A599" s="63" t="s">
        <v>2167</v>
      </c>
      <c r="B599" s="63" t="s">
        <v>14</v>
      </c>
      <c r="C599" s="63" t="s">
        <v>3759</v>
      </c>
      <c r="D599" s="63" t="s">
        <v>3760</v>
      </c>
      <c r="E599" s="63" t="s">
        <v>3761</v>
      </c>
      <c r="F599" s="63" t="s">
        <v>2502</v>
      </c>
      <c r="G599" s="63" t="s">
        <v>18</v>
      </c>
      <c r="H599" s="63" t="s">
        <v>18</v>
      </c>
      <c r="I599" s="63" t="s">
        <v>750</v>
      </c>
    </row>
    <row r="600" ht="11.25" customHeight="1">
      <c r="A600" s="63" t="s">
        <v>2167</v>
      </c>
      <c r="B600" s="63" t="s">
        <v>14</v>
      </c>
      <c r="C600" s="63" t="s">
        <v>3762</v>
      </c>
      <c r="D600" s="63" t="s">
        <v>3763</v>
      </c>
      <c r="E600" s="63" t="s">
        <v>3764</v>
      </c>
      <c r="F600" s="63" t="s">
        <v>2502</v>
      </c>
      <c r="G600" s="63" t="s">
        <v>3765</v>
      </c>
      <c r="H600" s="63" t="s">
        <v>18</v>
      </c>
      <c r="I600" s="63" t="s">
        <v>750</v>
      </c>
    </row>
    <row r="601" ht="11.25" customHeight="1">
      <c r="A601" s="63" t="s">
        <v>2167</v>
      </c>
      <c r="B601" s="63" t="s">
        <v>14</v>
      </c>
      <c r="C601" s="63" t="s">
        <v>2499</v>
      </c>
      <c r="D601" s="63" t="s">
        <v>2500</v>
      </c>
      <c r="E601" s="63" t="s">
        <v>2501</v>
      </c>
      <c r="F601" s="63" t="s">
        <v>2502</v>
      </c>
      <c r="G601" s="63" t="s">
        <v>18</v>
      </c>
      <c r="H601" s="63" t="s">
        <v>18</v>
      </c>
      <c r="I601" s="63" t="s">
        <v>750</v>
      </c>
    </row>
    <row r="602" ht="11.25" customHeight="1">
      <c r="A602" s="63" t="s">
        <v>2167</v>
      </c>
      <c r="B602" s="63" t="s">
        <v>14</v>
      </c>
      <c r="C602" s="63" t="s">
        <v>3766</v>
      </c>
      <c r="D602" s="63" t="s">
        <v>3767</v>
      </c>
      <c r="E602" s="63" t="s">
        <v>3768</v>
      </c>
      <c r="F602" s="63" t="s">
        <v>2502</v>
      </c>
      <c r="G602" s="63" t="s">
        <v>18</v>
      </c>
      <c r="H602" s="63" t="s">
        <v>18</v>
      </c>
      <c r="I602" s="63" t="s">
        <v>750</v>
      </c>
    </row>
    <row r="603" ht="11.25" customHeight="1">
      <c r="A603" s="63" t="s">
        <v>2167</v>
      </c>
      <c r="B603" s="63" t="s">
        <v>14</v>
      </c>
      <c r="C603" s="63" t="s">
        <v>3769</v>
      </c>
      <c r="D603" s="63" t="s">
        <v>3770</v>
      </c>
      <c r="E603" s="63" t="s">
        <v>3771</v>
      </c>
      <c r="F603" s="63" t="s">
        <v>2502</v>
      </c>
      <c r="G603" s="63" t="s">
        <v>18</v>
      </c>
      <c r="H603" s="63" t="s">
        <v>18</v>
      </c>
      <c r="I603" s="63" t="s">
        <v>750</v>
      </c>
    </row>
    <row r="604" ht="11.25" customHeight="1">
      <c r="A604" s="63" t="s">
        <v>2167</v>
      </c>
      <c r="B604" s="63" t="s">
        <v>14</v>
      </c>
      <c r="C604" s="63" t="s">
        <v>2503</v>
      </c>
      <c r="D604" s="63" t="s">
        <v>2504</v>
      </c>
      <c r="E604" s="63" t="s">
        <v>2505</v>
      </c>
      <c r="F604" s="63" t="s">
        <v>2506</v>
      </c>
      <c r="G604" s="63" t="s">
        <v>2507</v>
      </c>
      <c r="H604" s="63" t="s">
        <v>18</v>
      </c>
      <c r="I604" s="63" t="s">
        <v>750</v>
      </c>
    </row>
    <row r="605" ht="11.25" customHeight="1">
      <c r="A605" s="63" t="s">
        <v>2167</v>
      </c>
      <c r="B605" s="63" t="s">
        <v>14</v>
      </c>
      <c r="C605" s="63" t="s">
        <v>3772</v>
      </c>
      <c r="D605" s="63" t="s">
        <v>3773</v>
      </c>
      <c r="E605" s="63" t="s">
        <v>3774</v>
      </c>
      <c r="F605" s="63" t="s">
        <v>2180</v>
      </c>
      <c r="G605" s="63" t="s">
        <v>3455</v>
      </c>
      <c r="H605" s="63" t="s">
        <v>18</v>
      </c>
      <c r="I605" s="63" t="s">
        <v>750</v>
      </c>
    </row>
    <row r="606" ht="11.25" customHeight="1">
      <c r="A606" s="63" t="s">
        <v>2167</v>
      </c>
      <c r="B606" s="63" t="s">
        <v>14</v>
      </c>
      <c r="C606" s="63" t="s">
        <v>3775</v>
      </c>
      <c r="D606" s="63" t="s">
        <v>3776</v>
      </c>
      <c r="E606" s="63" t="s">
        <v>3777</v>
      </c>
      <c r="F606" s="63" t="s">
        <v>2502</v>
      </c>
      <c r="G606" s="63" t="s">
        <v>18</v>
      </c>
      <c r="H606" s="63" t="s">
        <v>18</v>
      </c>
      <c r="I606" s="63" t="s">
        <v>750</v>
      </c>
    </row>
    <row r="607" ht="11.25" customHeight="1">
      <c r="A607" s="63" t="s">
        <v>2167</v>
      </c>
      <c r="B607" s="63" t="s">
        <v>14</v>
      </c>
      <c r="C607" s="63" t="s">
        <v>2508</v>
      </c>
      <c r="D607" s="63" t="s">
        <v>2509</v>
      </c>
      <c r="E607" s="63" t="s">
        <v>2510</v>
      </c>
      <c r="F607" s="63" t="s">
        <v>2417</v>
      </c>
      <c r="G607" s="63" t="s">
        <v>18</v>
      </c>
      <c r="H607" s="63" t="s">
        <v>18</v>
      </c>
      <c r="I607" s="63" t="s">
        <v>750</v>
      </c>
    </row>
    <row r="608" ht="11.25" customHeight="1">
      <c r="A608" s="63" t="s">
        <v>2167</v>
      </c>
      <c r="B608" s="63" t="s">
        <v>14</v>
      </c>
      <c r="C608" s="63" t="s">
        <v>3778</v>
      </c>
      <c r="D608" s="63" t="s">
        <v>3779</v>
      </c>
      <c r="E608" s="63" t="s">
        <v>3780</v>
      </c>
      <c r="F608" s="63" t="s">
        <v>2380</v>
      </c>
      <c r="G608" s="63" t="s">
        <v>3781</v>
      </c>
      <c r="H608" s="63" t="s">
        <v>18</v>
      </c>
      <c r="I608" s="63" t="s">
        <v>750</v>
      </c>
    </row>
    <row r="609" ht="11.25" customHeight="1">
      <c r="A609" s="63" t="s">
        <v>2167</v>
      </c>
      <c r="B609" s="63" t="s">
        <v>14</v>
      </c>
      <c r="C609" s="63" t="s">
        <v>3782</v>
      </c>
      <c r="D609" s="63" t="s">
        <v>3783</v>
      </c>
      <c r="E609" s="63" t="s">
        <v>3784</v>
      </c>
      <c r="F609" s="63" t="s">
        <v>2303</v>
      </c>
      <c r="G609" s="63" t="s">
        <v>3785</v>
      </c>
      <c r="H609" s="63" t="s">
        <v>18</v>
      </c>
      <c r="I609" s="63" t="s">
        <v>750</v>
      </c>
    </row>
    <row r="610" ht="11.25" customHeight="1">
      <c r="A610" s="63" t="s">
        <v>2167</v>
      </c>
      <c r="B610" s="63" t="s">
        <v>14</v>
      </c>
      <c r="C610" s="63" t="s">
        <v>3786</v>
      </c>
      <c r="D610" s="63" t="s">
        <v>3787</v>
      </c>
      <c r="E610" s="63" t="s">
        <v>3788</v>
      </c>
      <c r="F610" s="63" t="s">
        <v>2956</v>
      </c>
      <c r="G610" s="63" t="s">
        <v>3789</v>
      </c>
      <c r="H610" s="63" t="s">
        <v>18</v>
      </c>
      <c r="I610" s="63" t="s">
        <v>750</v>
      </c>
    </row>
    <row r="611" ht="11.25" customHeight="1">
      <c r="A611" s="63" t="s">
        <v>2167</v>
      </c>
      <c r="B611" s="63" t="s">
        <v>14</v>
      </c>
      <c r="C611" s="63" t="s">
        <v>3790</v>
      </c>
      <c r="D611" s="63" t="s">
        <v>3791</v>
      </c>
      <c r="E611" s="63" t="s">
        <v>3792</v>
      </c>
      <c r="F611" s="63" t="s">
        <v>2370</v>
      </c>
      <c r="G611" s="63" t="s">
        <v>3793</v>
      </c>
      <c r="H611" s="63" t="s">
        <v>18</v>
      </c>
      <c r="I611" s="63" t="s">
        <v>750</v>
      </c>
    </row>
    <row r="612" ht="11.25" customHeight="1">
      <c r="A612" s="63" t="s">
        <v>2167</v>
      </c>
      <c r="B612" s="63" t="s">
        <v>14</v>
      </c>
      <c r="C612" s="63" t="s">
        <v>3794</v>
      </c>
      <c r="D612" s="63" t="s">
        <v>3795</v>
      </c>
      <c r="E612" s="63" t="s">
        <v>3796</v>
      </c>
      <c r="F612" s="63" t="s">
        <v>2514</v>
      </c>
      <c r="G612" s="63" t="s">
        <v>3797</v>
      </c>
      <c r="H612" s="63" t="s">
        <v>18</v>
      </c>
      <c r="I612" s="63" t="s">
        <v>750</v>
      </c>
    </row>
    <row r="613" ht="11.25" customHeight="1">
      <c r="A613" s="63" t="s">
        <v>2167</v>
      </c>
      <c r="B613" s="63" t="s">
        <v>14</v>
      </c>
      <c r="C613" s="63" t="s">
        <v>3798</v>
      </c>
      <c r="D613" s="63" t="s">
        <v>3799</v>
      </c>
      <c r="E613" s="63" t="s">
        <v>3800</v>
      </c>
      <c r="F613" s="63" t="s">
        <v>2506</v>
      </c>
      <c r="G613" s="63" t="s">
        <v>3801</v>
      </c>
      <c r="H613" s="63" t="s">
        <v>18</v>
      </c>
      <c r="I613" s="63" t="s">
        <v>750</v>
      </c>
    </row>
    <row r="614" ht="11.25" customHeight="1">
      <c r="A614" s="63" t="s">
        <v>2167</v>
      </c>
      <c r="B614" s="63" t="s">
        <v>14</v>
      </c>
      <c r="C614" s="63" t="s">
        <v>3802</v>
      </c>
      <c r="D614" s="63" t="s">
        <v>3803</v>
      </c>
      <c r="E614" s="63" t="s">
        <v>3804</v>
      </c>
      <c r="F614" s="63" t="s">
        <v>2185</v>
      </c>
      <c r="G614" s="63" t="s">
        <v>3805</v>
      </c>
      <c r="H614" s="63" t="s">
        <v>18</v>
      </c>
      <c r="I614" s="63" t="s">
        <v>750</v>
      </c>
    </row>
    <row r="615" ht="11.25" customHeight="1">
      <c r="A615" s="63" t="s">
        <v>2167</v>
      </c>
      <c r="B615" s="63" t="s">
        <v>14</v>
      </c>
      <c r="C615" s="63" t="s">
        <v>3806</v>
      </c>
      <c r="D615" s="63" t="s">
        <v>3803</v>
      </c>
      <c r="E615" s="63" t="s">
        <v>3807</v>
      </c>
      <c r="F615" s="63" t="s">
        <v>2413</v>
      </c>
      <c r="G615" s="63" t="s">
        <v>3808</v>
      </c>
      <c r="H615" s="63" t="s">
        <v>18</v>
      </c>
      <c r="I615" s="63" t="s">
        <v>750</v>
      </c>
    </row>
    <row r="616" ht="11.25" customHeight="1">
      <c r="A616" s="63" t="s">
        <v>2167</v>
      </c>
      <c r="B616" s="63" t="s">
        <v>14</v>
      </c>
      <c r="C616" s="63" t="s">
        <v>3809</v>
      </c>
      <c r="D616" s="63" t="s">
        <v>3810</v>
      </c>
      <c r="E616" s="63" t="s">
        <v>3811</v>
      </c>
      <c r="F616" s="63" t="s">
        <v>2645</v>
      </c>
      <c r="G616" s="63" t="s">
        <v>3812</v>
      </c>
      <c r="H616" s="63" t="s">
        <v>18</v>
      </c>
      <c r="I616" s="63" t="s">
        <v>750</v>
      </c>
    </row>
    <row r="617" ht="11.25" customHeight="1">
      <c r="A617" s="63" t="s">
        <v>2167</v>
      </c>
      <c r="B617" s="63" t="s">
        <v>14</v>
      </c>
      <c r="C617" s="63" t="s">
        <v>3813</v>
      </c>
      <c r="D617" s="63" t="s">
        <v>3814</v>
      </c>
      <c r="E617" s="63" t="s">
        <v>3815</v>
      </c>
      <c r="F617" s="63" t="s">
        <v>3096</v>
      </c>
      <c r="G617" s="63" t="s">
        <v>18</v>
      </c>
      <c r="H617" s="63" t="s">
        <v>18</v>
      </c>
      <c r="I617" s="63" t="s">
        <v>750</v>
      </c>
    </row>
    <row r="618" ht="11.25" customHeight="1">
      <c r="A618" s="63" t="s">
        <v>2167</v>
      </c>
      <c r="B618" s="63" t="s">
        <v>14</v>
      </c>
      <c r="C618" s="63" t="s">
        <v>3816</v>
      </c>
      <c r="D618" s="63" t="s">
        <v>3817</v>
      </c>
      <c r="E618" s="63" t="s">
        <v>3818</v>
      </c>
      <c r="F618" s="63" t="s">
        <v>2380</v>
      </c>
      <c r="G618" s="63" t="s">
        <v>3819</v>
      </c>
      <c r="H618" s="63" t="s">
        <v>18</v>
      </c>
      <c r="I618" s="63" t="s">
        <v>750</v>
      </c>
    </row>
    <row r="619" ht="11.25" customHeight="1">
      <c r="A619" s="63" t="s">
        <v>2167</v>
      </c>
      <c r="B619" s="63" t="s">
        <v>14</v>
      </c>
      <c r="C619" s="63" t="s">
        <v>3820</v>
      </c>
      <c r="D619" s="63" t="s">
        <v>3821</v>
      </c>
      <c r="E619" s="63" t="s">
        <v>3822</v>
      </c>
      <c r="F619" s="63" t="s">
        <v>2465</v>
      </c>
      <c r="G619" s="63" t="s">
        <v>3823</v>
      </c>
      <c r="H619" s="63" t="s">
        <v>18</v>
      </c>
      <c r="I619" s="63" t="s">
        <v>750</v>
      </c>
    </row>
    <row r="620" ht="11.25" customHeight="1">
      <c r="A620" s="63" t="s">
        <v>2167</v>
      </c>
      <c r="B620" s="63" t="s">
        <v>14</v>
      </c>
      <c r="C620" s="63" t="s">
        <v>3824</v>
      </c>
      <c r="D620" s="63" t="s">
        <v>3825</v>
      </c>
      <c r="E620" s="63" t="s">
        <v>3826</v>
      </c>
      <c r="F620" s="63" t="s">
        <v>2249</v>
      </c>
      <c r="G620" s="63" t="s">
        <v>18</v>
      </c>
      <c r="H620" s="63" t="s">
        <v>18</v>
      </c>
      <c r="I620" s="63" t="s">
        <v>750</v>
      </c>
    </row>
    <row r="621" ht="11.25" customHeight="1">
      <c r="A621" s="63" t="s">
        <v>2167</v>
      </c>
      <c r="B621" s="63" t="s">
        <v>14</v>
      </c>
      <c r="C621" s="63" t="s">
        <v>3827</v>
      </c>
      <c r="D621" s="63" t="s">
        <v>3828</v>
      </c>
      <c r="E621" s="63" t="s">
        <v>3829</v>
      </c>
      <c r="F621" s="63" t="s">
        <v>2593</v>
      </c>
      <c r="G621" s="63" t="s">
        <v>3830</v>
      </c>
      <c r="H621" s="63" t="s">
        <v>18</v>
      </c>
      <c r="I621" s="63" t="s">
        <v>750</v>
      </c>
    </row>
    <row r="622" ht="11.25" customHeight="1">
      <c r="A622" s="63" t="s">
        <v>2167</v>
      </c>
      <c r="B622" s="63" t="s">
        <v>14</v>
      </c>
      <c r="C622" s="63" t="s">
        <v>3831</v>
      </c>
      <c r="D622" s="63" t="s">
        <v>3832</v>
      </c>
      <c r="E622" s="63" t="s">
        <v>3833</v>
      </c>
      <c r="F622" s="63" t="s">
        <v>2465</v>
      </c>
      <c r="G622" s="63" t="s">
        <v>3834</v>
      </c>
      <c r="H622" s="63" t="s">
        <v>18</v>
      </c>
      <c r="I622" s="63" t="s">
        <v>750</v>
      </c>
    </row>
    <row r="623" ht="11.25" customHeight="1">
      <c r="A623" s="63" t="s">
        <v>2167</v>
      </c>
      <c r="B623" s="63" t="s">
        <v>14</v>
      </c>
      <c r="C623" s="63" t="s">
        <v>3835</v>
      </c>
      <c r="D623" s="63" t="s">
        <v>3836</v>
      </c>
      <c r="E623" s="63" t="s">
        <v>3837</v>
      </c>
      <c r="F623" s="63" t="s">
        <v>2502</v>
      </c>
      <c r="G623" s="63" t="s">
        <v>18</v>
      </c>
      <c r="H623" s="63" t="s">
        <v>18</v>
      </c>
      <c r="I623" s="63" t="s">
        <v>750</v>
      </c>
    </row>
    <row r="624" ht="11.25" customHeight="1">
      <c r="A624" s="63" t="s">
        <v>2167</v>
      </c>
      <c r="B624" s="63" t="s">
        <v>14</v>
      </c>
      <c r="C624" s="63" t="s">
        <v>3838</v>
      </c>
      <c r="D624" s="63" t="s">
        <v>3839</v>
      </c>
      <c r="E624" s="63" t="s">
        <v>3840</v>
      </c>
      <c r="F624" s="63" t="s">
        <v>2303</v>
      </c>
      <c r="G624" s="63" t="s">
        <v>3841</v>
      </c>
      <c r="H624" s="63" t="s">
        <v>18</v>
      </c>
      <c r="I624" s="63" t="s">
        <v>750</v>
      </c>
    </row>
    <row r="625" ht="11.25" customHeight="1">
      <c r="A625" s="63" t="s">
        <v>2167</v>
      </c>
      <c r="B625" s="63" t="s">
        <v>14</v>
      </c>
      <c r="C625" s="63" t="s">
        <v>2515</v>
      </c>
      <c r="D625" s="63" t="s">
        <v>2516</v>
      </c>
      <c r="E625" s="63" t="s">
        <v>2517</v>
      </c>
      <c r="F625" s="63" t="s">
        <v>2180</v>
      </c>
      <c r="G625" s="63" t="s">
        <v>2518</v>
      </c>
      <c r="H625" s="63" t="s">
        <v>18</v>
      </c>
      <c r="I625" s="63" t="s">
        <v>750</v>
      </c>
    </row>
    <row r="626" ht="11.25" customHeight="1">
      <c r="A626" s="63" t="s">
        <v>2167</v>
      </c>
      <c r="B626" s="63" t="s">
        <v>14</v>
      </c>
      <c r="C626" s="63" t="s">
        <v>3842</v>
      </c>
      <c r="D626" s="63" t="s">
        <v>3843</v>
      </c>
      <c r="E626" s="63" t="s">
        <v>3844</v>
      </c>
      <c r="F626" s="63" t="s">
        <v>3845</v>
      </c>
      <c r="G626" s="63" t="s">
        <v>18</v>
      </c>
      <c r="H626" s="63" t="s">
        <v>18</v>
      </c>
      <c r="I626" s="63" t="s">
        <v>750</v>
      </c>
    </row>
    <row r="627" ht="11.25" customHeight="1">
      <c r="A627" s="63" t="s">
        <v>2167</v>
      </c>
      <c r="B627" s="63" t="s">
        <v>14</v>
      </c>
      <c r="C627" s="63" t="s">
        <v>3846</v>
      </c>
      <c r="D627" s="63" t="s">
        <v>3847</v>
      </c>
      <c r="E627" s="63" t="s">
        <v>3848</v>
      </c>
      <c r="F627" s="63" t="s">
        <v>2645</v>
      </c>
      <c r="G627" s="63" t="s">
        <v>3849</v>
      </c>
      <c r="H627" s="63" t="s">
        <v>3850</v>
      </c>
      <c r="I627" s="63" t="s">
        <v>750</v>
      </c>
    </row>
    <row r="628" ht="11.25" customHeight="1">
      <c r="A628" s="63" t="s">
        <v>2167</v>
      </c>
      <c r="B628" s="63" t="s">
        <v>14</v>
      </c>
      <c r="C628" s="63" t="s">
        <v>2519</v>
      </c>
      <c r="D628" s="63" t="s">
        <v>2520</v>
      </c>
      <c r="E628" s="63" t="s">
        <v>2521</v>
      </c>
      <c r="F628" s="63" t="s">
        <v>2522</v>
      </c>
      <c r="G628" s="63" t="s">
        <v>2523</v>
      </c>
      <c r="H628" s="63" t="s">
        <v>18</v>
      </c>
      <c r="I628" s="63" t="s">
        <v>750</v>
      </c>
    </row>
    <row r="629" ht="11.25" customHeight="1">
      <c r="A629" s="63" t="s">
        <v>2167</v>
      </c>
      <c r="B629" s="63" t="s">
        <v>14</v>
      </c>
      <c r="C629" s="63" t="s">
        <v>3851</v>
      </c>
      <c r="D629" s="63" t="s">
        <v>3852</v>
      </c>
      <c r="E629" s="63" t="s">
        <v>3853</v>
      </c>
      <c r="F629" s="63" t="s">
        <v>2465</v>
      </c>
      <c r="G629" s="63" t="s">
        <v>3854</v>
      </c>
      <c r="H629" s="63" t="s">
        <v>18</v>
      </c>
      <c r="I629" s="63" t="s">
        <v>750</v>
      </c>
    </row>
    <row r="630" ht="11.25" customHeight="1">
      <c r="A630" s="63" t="s">
        <v>2167</v>
      </c>
      <c r="B630" s="63" t="s">
        <v>14</v>
      </c>
      <c r="C630" s="63" t="s">
        <v>3855</v>
      </c>
      <c r="D630" s="63" t="s">
        <v>3856</v>
      </c>
      <c r="E630" s="63" t="s">
        <v>3857</v>
      </c>
      <c r="F630" s="63" t="s">
        <v>2380</v>
      </c>
      <c r="G630" s="63" t="s">
        <v>3858</v>
      </c>
      <c r="H630" s="63" t="s">
        <v>18</v>
      </c>
      <c r="I630" s="63" t="s">
        <v>750</v>
      </c>
    </row>
    <row r="631" ht="11.25" customHeight="1">
      <c r="A631" s="63" t="s">
        <v>2167</v>
      </c>
      <c r="B631" s="63" t="s">
        <v>14</v>
      </c>
      <c r="C631" s="63" t="s">
        <v>3859</v>
      </c>
      <c r="D631" s="63" t="s">
        <v>3860</v>
      </c>
      <c r="E631" s="63" t="s">
        <v>3861</v>
      </c>
      <c r="F631" s="63" t="s">
        <v>2465</v>
      </c>
      <c r="G631" s="63" t="s">
        <v>3862</v>
      </c>
      <c r="H631" s="63" t="s">
        <v>18</v>
      </c>
      <c r="I631" s="63" t="s">
        <v>750</v>
      </c>
    </row>
    <row r="632" ht="11.25" customHeight="1">
      <c r="A632" s="63" t="s">
        <v>2167</v>
      </c>
      <c r="B632" s="63" t="s">
        <v>14</v>
      </c>
      <c r="C632" s="63" t="s">
        <v>2524</v>
      </c>
      <c r="D632" s="63" t="s">
        <v>2525</v>
      </c>
      <c r="E632" s="63" t="s">
        <v>2526</v>
      </c>
      <c r="F632" s="63" t="s">
        <v>2421</v>
      </c>
      <c r="G632" s="63" t="s">
        <v>2422</v>
      </c>
      <c r="H632" s="63" t="s">
        <v>18</v>
      </c>
      <c r="I632" s="63" t="s">
        <v>750</v>
      </c>
    </row>
    <row r="633" ht="11.25" customHeight="1">
      <c r="A633" s="63" t="s">
        <v>2167</v>
      </c>
      <c r="B633" s="63" t="s">
        <v>14</v>
      </c>
      <c r="C633" s="63" t="s">
        <v>3863</v>
      </c>
      <c r="D633" s="63" t="s">
        <v>3864</v>
      </c>
      <c r="E633" s="63" t="s">
        <v>3865</v>
      </c>
      <c r="F633" s="63" t="s">
        <v>2465</v>
      </c>
      <c r="G633" s="63" t="s">
        <v>3866</v>
      </c>
      <c r="H633" s="63" t="s">
        <v>18</v>
      </c>
      <c r="I633" s="63" t="s">
        <v>750</v>
      </c>
    </row>
    <row r="634" ht="11.25" customHeight="1">
      <c r="A634" s="63" t="s">
        <v>2167</v>
      </c>
      <c r="B634" s="63" t="s">
        <v>14</v>
      </c>
      <c r="C634" s="63" t="s">
        <v>2527</v>
      </c>
      <c r="D634" s="63" t="s">
        <v>2528</v>
      </c>
      <c r="E634" s="63" t="s">
        <v>2529</v>
      </c>
      <c r="F634" s="63" t="s">
        <v>2311</v>
      </c>
      <c r="G634" s="63" t="s">
        <v>2530</v>
      </c>
      <c r="H634" s="63" t="s">
        <v>18</v>
      </c>
      <c r="I634" s="63" t="s">
        <v>750</v>
      </c>
    </row>
    <row r="635" ht="11.25" customHeight="1">
      <c r="A635" s="63" t="s">
        <v>2167</v>
      </c>
      <c r="B635" s="63" t="s">
        <v>14</v>
      </c>
      <c r="C635" s="63" t="s">
        <v>3867</v>
      </c>
      <c r="D635" s="63" t="s">
        <v>3868</v>
      </c>
      <c r="E635" s="63" t="s">
        <v>3869</v>
      </c>
      <c r="F635" s="63" t="s">
        <v>2550</v>
      </c>
      <c r="G635" s="63" t="s">
        <v>3870</v>
      </c>
      <c r="H635" s="63" t="s">
        <v>18</v>
      </c>
      <c r="I635" s="63" t="s">
        <v>750</v>
      </c>
    </row>
    <row r="636" ht="11.25" customHeight="1">
      <c r="A636" s="63" t="s">
        <v>2167</v>
      </c>
      <c r="B636" s="63" t="s">
        <v>14</v>
      </c>
      <c r="C636" s="63" t="s">
        <v>2531</v>
      </c>
      <c r="D636" s="63" t="s">
        <v>2532</v>
      </c>
      <c r="E636" s="63" t="s">
        <v>2533</v>
      </c>
      <c r="F636" s="63" t="s">
        <v>2465</v>
      </c>
      <c r="G636" s="63" t="s">
        <v>2534</v>
      </c>
      <c r="H636" s="63" t="s">
        <v>18</v>
      </c>
      <c r="I636" s="63" t="s">
        <v>750</v>
      </c>
    </row>
    <row r="637" ht="11.25" customHeight="1">
      <c r="A637" s="63" t="s">
        <v>2167</v>
      </c>
      <c r="B637" s="63" t="s">
        <v>14</v>
      </c>
      <c r="C637" s="63" t="s">
        <v>3871</v>
      </c>
      <c r="D637" s="63" t="s">
        <v>3872</v>
      </c>
      <c r="E637" s="63" t="s">
        <v>3873</v>
      </c>
      <c r="F637" s="63" t="s">
        <v>2421</v>
      </c>
      <c r="G637" s="63" t="s">
        <v>3874</v>
      </c>
      <c r="H637" s="63" t="s">
        <v>18</v>
      </c>
      <c r="I637" s="63" t="s">
        <v>750</v>
      </c>
    </row>
    <row r="638" ht="11.25" customHeight="1">
      <c r="A638" s="63" t="s">
        <v>2167</v>
      </c>
      <c r="B638" s="63" t="s">
        <v>14</v>
      </c>
      <c r="C638" s="63" t="s">
        <v>2535</v>
      </c>
      <c r="D638" s="63" t="s">
        <v>2536</v>
      </c>
      <c r="E638" s="63" t="s">
        <v>2537</v>
      </c>
      <c r="F638" s="63" t="s">
        <v>2538</v>
      </c>
      <c r="G638" s="63" t="s">
        <v>2539</v>
      </c>
      <c r="H638" s="63" t="s">
        <v>18</v>
      </c>
      <c r="I638" s="63" t="s">
        <v>750</v>
      </c>
    </row>
    <row r="639" ht="11.25" customHeight="1">
      <c r="A639" s="63" t="s">
        <v>2167</v>
      </c>
      <c r="B639" s="63" t="s">
        <v>14</v>
      </c>
      <c r="C639" s="63" t="s">
        <v>3875</v>
      </c>
      <c r="D639" s="63" t="s">
        <v>3876</v>
      </c>
      <c r="E639" s="63" t="s">
        <v>3877</v>
      </c>
      <c r="F639" s="63" t="s">
        <v>2311</v>
      </c>
      <c r="G639" s="63" t="s">
        <v>3878</v>
      </c>
      <c r="H639" s="63" t="s">
        <v>18</v>
      </c>
      <c r="I639" s="63" t="s">
        <v>750</v>
      </c>
    </row>
    <row r="640" ht="11.25" customHeight="1">
      <c r="A640" s="63" t="s">
        <v>2167</v>
      </c>
      <c r="B640" s="63" t="s">
        <v>14</v>
      </c>
      <c r="C640" s="63" t="s">
        <v>3879</v>
      </c>
      <c r="D640" s="63" t="s">
        <v>3880</v>
      </c>
      <c r="E640" s="63" t="s">
        <v>3881</v>
      </c>
      <c r="F640" s="63" t="s">
        <v>2474</v>
      </c>
      <c r="G640" s="63" t="s">
        <v>18</v>
      </c>
      <c r="H640" s="63" t="s">
        <v>18</v>
      </c>
      <c r="I640" s="63" t="s">
        <v>750</v>
      </c>
    </row>
    <row r="641" ht="11.25" customHeight="1">
      <c r="A641" s="63" t="s">
        <v>2167</v>
      </c>
      <c r="B641" s="63" t="s">
        <v>14</v>
      </c>
      <c r="C641" s="63" t="s">
        <v>3882</v>
      </c>
      <c r="D641" s="63" t="s">
        <v>3883</v>
      </c>
      <c r="E641" s="63" t="s">
        <v>3884</v>
      </c>
      <c r="F641" s="63" t="s">
        <v>2474</v>
      </c>
      <c r="G641" s="63" t="s">
        <v>18</v>
      </c>
      <c r="H641" s="63" t="s">
        <v>18</v>
      </c>
      <c r="I641" s="63" t="s">
        <v>750</v>
      </c>
    </row>
    <row r="642" ht="11.25" customHeight="1">
      <c r="A642" s="63" t="s">
        <v>2167</v>
      </c>
      <c r="B642" s="63" t="s">
        <v>14</v>
      </c>
      <c r="C642" s="63" t="s">
        <v>3885</v>
      </c>
      <c r="D642" s="63" t="s">
        <v>3886</v>
      </c>
      <c r="E642" s="63" t="s">
        <v>3887</v>
      </c>
      <c r="F642" s="63" t="s">
        <v>2474</v>
      </c>
      <c r="G642" s="63" t="s">
        <v>18</v>
      </c>
      <c r="H642" s="63" t="s">
        <v>18</v>
      </c>
      <c r="I642" s="63" t="s">
        <v>750</v>
      </c>
    </row>
    <row r="643" ht="11.25" customHeight="1">
      <c r="A643" s="63" t="s">
        <v>2167</v>
      </c>
      <c r="B643" s="63" t="s">
        <v>14</v>
      </c>
      <c r="C643" s="63" t="s">
        <v>3888</v>
      </c>
      <c r="D643" s="63" t="s">
        <v>3889</v>
      </c>
      <c r="E643" s="63" t="s">
        <v>3890</v>
      </c>
      <c r="F643" s="63" t="s">
        <v>2474</v>
      </c>
      <c r="G643" s="63" t="s">
        <v>18</v>
      </c>
      <c r="H643" s="63" t="s">
        <v>18</v>
      </c>
      <c r="I643" s="63" t="s">
        <v>750</v>
      </c>
    </row>
    <row r="644" ht="11.25" customHeight="1">
      <c r="A644" s="63" t="s">
        <v>2167</v>
      </c>
      <c r="B644" s="63" t="s">
        <v>14</v>
      </c>
      <c r="C644" s="63" t="s">
        <v>3891</v>
      </c>
      <c r="D644" s="63" t="s">
        <v>3892</v>
      </c>
      <c r="E644" s="63" t="s">
        <v>3893</v>
      </c>
      <c r="F644" s="63" t="s">
        <v>3496</v>
      </c>
      <c r="G644" s="63" t="s">
        <v>3894</v>
      </c>
      <c r="H644" s="63" t="s">
        <v>18</v>
      </c>
      <c r="I644" s="63" t="s">
        <v>750</v>
      </c>
    </row>
    <row r="645" ht="11.25" customHeight="1">
      <c r="A645" s="63" t="s">
        <v>2167</v>
      </c>
      <c r="B645" s="63" t="s">
        <v>14</v>
      </c>
      <c r="C645" s="63" t="s">
        <v>3895</v>
      </c>
      <c r="D645" s="63" t="s">
        <v>3896</v>
      </c>
      <c r="E645" s="63" t="s">
        <v>3897</v>
      </c>
      <c r="F645" s="63" t="s">
        <v>2557</v>
      </c>
      <c r="G645" s="63" t="s">
        <v>3898</v>
      </c>
      <c r="H645" s="63" t="s">
        <v>18</v>
      </c>
      <c r="I645" s="63" t="s">
        <v>750</v>
      </c>
    </row>
    <row r="646" ht="11.25" customHeight="1">
      <c r="A646" s="63" t="s">
        <v>2167</v>
      </c>
      <c r="B646" s="63" t="s">
        <v>14</v>
      </c>
      <c r="C646" s="63" t="s">
        <v>3899</v>
      </c>
      <c r="D646" s="63" t="s">
        <v>3900</v>
      </c>
      <c r="E646" s="63" t="s">
        <v>3901</v>
      </c>
      <c r="F646" s="63" t="s">
        <v>2370</v>
      </c>
      <c r="G646" s="63" t="s">
        <v>3902</v>
      </c>
      <c r="H646" s="63" t="s">
        <v>18</v>
      </c>
      <c r="I646" s="63" t="s">
        <v>750</v>
      </c>
    </row>
    <row r="647" ht="11.25" customHeight="1">
      <c r="A647" s="63" t="s">
        <v>2167</v>
      </c>
      <c r="B647" s="63" t="s">
        <v>14</v>
      </c>
      <c r="C647" s="63" t="s">
        <v>3903</v>
      </c>
      <c r="D647" s="63" t="s">
        <v>2541</v>
      </c>
      <c r="E647" s="63" t="s">
        <v>3904</v>
      </c>
      <c r="F647" s="63" t="s">
        <v>2370</v>
      </c>
      <c r="G647" s="63" t="s">
        <v>3905</v>
      </c>
      <c r="H647" s="63" t="s">
        <v>18</v>
      </c>
      <c r="I647" s="63" t="s">
        <v>750</v>
      </c>
    </row>
    <row r="648" ht="11.25" customHeight="1">
      <c r="A648" s="63" t="s">
        <v>2167</v>
      </c>
      <c r="B648" s="63" t="s">
        <v>14</v>
      </c>
      <c r="C648" s="63" t="s">
        <v>2544</v>
      </c>
      <c r="D648" s="63" t="s">
        <v>2545</v>
      </c>
      <c r="E648" s="63" t="s">
        <v>2546</v>
      </c>
      <c r="F648" s="63" t="s">
        <v>2497</v>
      </c>
      <c r="G648" s="63" t="s">
        <v>18</v>
      </c>
      <c r="H648" s="63" t="s">
        <v>18</v>
      </c>
      <c r="I648" s="63" t="s">
        <v>750</v>
      </c>
    </row>
    <row r="649" ht="11.25" customHeight="1">
      <c r="A649" s="63" t="s">
        <v>2167</v>
      </c>
      <c r="B649" s="63" t="s">
        <v>14</v>
      </c>
      <c r="C649" s="63" t="s">
        <v>3906</v>
      </c>
      <c r="D649" s="63" t="s">
        <v>3907</v>
      </c>
      <c r="E649" s="63" t="s">
        <v>3908</v>
      </c>
      <c r="F649" s="63" t="s">
        <v>2557</v>
      </c>
      <c r="G649" s="63" t="s">
        <v>3898</v>
      </c>
      <c r="H649" s="63" t="s">
        <v>18</v>
      </c>
      <c r="I649" s="63" t="s">
        <v>750</v>
      </c>
    </row>
    <row r="650" ht="11.25" customHeight="1">
      <c r="A650" s="63" t="s">
        <v>2167</v>
      </c>
      <c r="B650" s="63" t="s">
        <v>14</v>
      </c>
      <c r="C650" s="63" t="s">
        <v>3909</v>
      </c>
      <c r="D650" s="63" t="s">
        <v>3910</v>
      </c>
      <c r="E650" s="63" t="s">
        <v>3911</v>
      </c>
      <c r="F650" s="63" t="s">
        <v>2319</v>
      </c>
      <c r="G650" s="63" t="s">
        <v>3912</v>
      </c>
      <c r="H650" s="63" t="s">
        <v>18</v>
      </c>
      <c r="I650" s="63" t="s">
        <v>750</v>
      </c>
    </row>
    <row r="651" ht="11.25" customHeight="1">
      <c r="A651" s="63" t="s">
        <v>2167</v>
      </c>
      <c r="B651" s="63" t="s">
        <v>14</v>
      </c>
      <c r="C651" s="63" t="s">
        <v>3913</v>
      </c>
      <c r="D651" s="63" t="s">
        <v>3914</v>
      </c>
      <c r="E651" s="63" t="s">
        <v>3915</v>
      </c>
      <c r="F651" s="63" t="s">
        <v>3080</v>
      </c>
      <c r="G651" s="63" t="s">
        <v>18</v>
      </c>
      <c r="H651" s="63" t="s">
        <v>18</v>
      </c>
      <c r="I651" s="63" t="s">
        <v>750</v>
      </c>
    </row>
    <row r="652" ht="11.25" customHeight="1">
      <c r="A652" s="63" t="s">
        <v>2167</v>
      </c>
      <c r="B652" s="63" t="s">
        <v>14</v>
      </c>
      <c r="C652" s="63" t="s">
        <v>3916</v>
      </c>
      <c r="D652" s="63" t="s">
        <v>3917</v>
      </c>
      <c r="E652" s="63" t="s">
        <v>3918</v>
      </c>
      <c r="F652" s="63" t="s">
        <v>2577</v>
      </c>
      <c r="G652" s="63" t="s">
        <v>3919</v>
      </c>
      <c r="H652" s="63" t="s">
        <v>18</v>
      </c>
      <c r="I652" s="63" t="s">
        <v>750</v>
      </c>
    </row>
    <row r="653" ht="11.25" customHeight="1">
      <c r="A653" s="63" t="s">
        <v>2167</v>
      </c>
      <c r="B653" s="63" t="s">
        <v>14</v>
      </c>
      <c r="C653" s="63" t="s">
        <v>3920</v>
      </c>
      <c r="D653" s="63" t="s">
        <v>3921</v>
      </c>
      <c r="E653" s="63" t="s">
        <v>3922</v>
      </c>
      <c r="F653" s="63" t="s">
        <v>2506</v>
      </c>
      <c r="G653" s="63" t="s">
        <v>3923</v>
      </c>
      <c r="H653" s="63" t="s">
        <v>18</v>
      </c>
      <c r="I653" s="63" t="s">
        <v>750</v>
      </c>
    </row>
    <row r="654" ht="11.25" customHeight="1">
      <c r="A654" s="63" t="s">
        <v>2167</v>
      </c>
      <c r="B654" s="63" t="s">
        <v>14</v>
      </c>
      <c r="C654" s="63" t="s">
        <v>3924</v>
      </c>
      <c r="D654" s="63" t="s">
        <v>3925</v>
      </c>
      <c r="E654" s="63" t="s">
        <v>3926</v>
      </c>
      <c r="F654" s="63" t="s">
        <v>2465</v>
      </c>
      <c r="G654" s="63" t="s">
        <v>3927</v>
      </c>
      <c r="H654" s="63" t="s">
        <v>18</v>
      </c>
      <c r="I654" s="63" t="s">
        <v>750</v>
      </c>
    </row>
    <row r="655" ht="11.25" customHeight="1">
      <c r="A655" s="63" t="s">
        <v>2167</v>
      </c>
      <c r="B655" s="63" t="s">
        <v>14</v>
      </c>
      <c r="C655" s="63" t="s">
        <v>3928</v>
      </c>
      <c r="D655" s="63" t="s">
        <v>3929</v>
      </c>
      <c r="E655" s="63" t="s">
        <v>3930</v>
      </c>
      <c r="F655" s="63" t="s">
        <v>2506</v>
      </c>
      <c r="G655" s="63" t="s">
        <v>3931</v>
      </c>
      <c r="H655" s="63" t="s">
        <v>18</v>
      </c>
      <c r="I655" s="63" t="s">
        <v>750</v>
      </c>
    </row>
    <row r="656" ht="11.25" customHeight="1">
      <c r="A656" s="63" t="s">
        <v>2167</v>
      </c>
      <c r="B656" s="63" t="s">
        <v>14</v>
      </c>
      <c r="C656" s="63" t="s">
        <v>3932</v>
      </c>
      <c r="D656" s="63" t="s">
        <v>3933</v>
      </c>
      <c r="E656" s="63" t="s">
        <v>3934</v>
      </c>
      <c r="F656" s="63" t="s">
        <v>2557</v>
      </c>
      <c r="G656" s="63" t="s">
        <v>3935</v>
      </c>
      <c r="H656" s="63" t="s">
        <v>18</v>
      </c>
      <c r="I656" s="63" t="s">
        <v>750</v>
      </c>
    </row>
    <row r="657" ht="11.25" customHeight="1">
      <c r="A657" s="63" t="s">
        <v>2167</v>
      </c>
      <c r="B657" s="63" t="s">
        <v>14</v>
      </c>
      <c r="C657" s="63" t="s">
        <v>2554</v>
      </c>
      <c r="D657" s="63" t="s">
        <v>2555</v>
      </c>
      <c r="E657" s="63" t="s">
        <v>2556</v>
      </c>
      <c r="F657" s="63" t="s">
        <v>2557</v>
      </c>
      <c r="G657" s="63" t="s">
        <v>2558</v>
      </c>
      <c r="H657" s="63" t="s">
        <v>18</v>
      </c>
      <c r="I657" s="63" t="s">
        <v>750</v>
      </c>
    </row>
    <row r="658" ht="11.25" customHeight="1">
      <c r="A658" s="63" t="s">
        <v>2167</v>
      </c>
      <c r="B658" s="63" t="s">
        <v>14</v>
      </c>
      <c r="C658" s="63" t="s">
        <v>3936</v>
      </c>
      <c r="D658" s="63" t="s">
        <v>3937</v>
      </c>
      <c r="E658" s="63" t="s">
        <v>3938</v>
      </c>
      <c r="F658" s="63" t="s">
        <v>2413</v>
      </c>
      <c r="G658" s="63" t="s">
        <v>18</v>
      </c>
      <c r="H658" s="63" t="s">
        <v>18</v>
      </c>
      <c r="I658" s="63" t="s">
        <v>750</v>
      </c>
    </row>
    <row r="659" ht="11.25" customHeight="1">
      <c r="A659" s="63" t="s">
        <v>2167</v>
      </c>
      <c r="B659" s="63" t="s">
        <v>14</v>
      </c>
      <c r="C659" s="63" t="s">
        <v>3939</v>
      </c>
      <c r="D659" s="63" t="s">
        <v>3940</v>
      </c>
      <c r="E659" s="63" t="s">
        <v>3941</v>
      </c>
      <c r="F659" s="63" t="s">
        <v>2311</v>
      </c>
      <c r="G659" s="63" t="s">
        <v>18</v>
      </c>
      <c r="H659" s="63" t="s">
        <v>18</v>
      </c>
      <c r="I659" s="63" t="s">
        <v>750</v>
      </c>
    </row>
    <row r="660" ht="11.25" customHeight="1">
      <c r="A660" s="63" t="s">
        <v>2167</v>
      </c>
      <c r="B660" s="63" t="s">
        <v>14</v>
      </c>
      <c r="C660" s="63" t="s">
        <v>3942</v>
      </c>
      <c r="D660" s="63" t="s">
        <v>3943</v>
      </c>
      <c r="E660" s="63" t="s">
        <v>3944</v>
      </c>
      <c r="F660" s="63" t="s">
        <v>2311</v>
      </c>
      <c r="G660" s="63" t="s">
        <v>3442</v>
      </c>
      <c r="H660" s="63" t="s">
        <v>18</v>
      </c>
      <c r="I660" s="63" t="s">
        <v>750</v>
      </c>
    </row>
    <row r="661" ht="11.25" customHeight="1">
      <c r="A661" s="63" t="s">
        <v>2167</v>
      </c>
      <c r="B661" s="63" t="s">
        <v>14</v>
      </c>
      <c r="C661" s="63" t="s">
        <v>3945</v>
      </c>
      <c r="D661" s="63" t="s">
        <v>3946</v>
      </c>
      <c r="E661" s="63" t="s">
        <v>3947</v>
      </c>
      <c r="F661" s="63" t="s">
        <v>2413</v>
      </c>
      <c r="G661" s="63" t="s">
        <v>3948</v>
      </c>
      <c r="H661" s="63" t="s">
        <v>18</v>
      </c>
      <c r="I661" s="63" t="s">
        <v>750</v>
      </c>
    </row>
    <row r="662" ht="11.25" customHeight="1">
      <c r="A662" s="63" t="s">
        <v>2167</v>
      </c>
      <c r="B662" s="63" t="s">
        <v>14</v>
      </c>
      <c r="C662" s="63" t="s">
        <v>3949</v>
      </c>
      <c r="D662" s="63" t="s">
        <v>3950</v>
      </c>
      <c r="E662" s="63" t="s">
        <v>3951</v>
      </c>
      <c r="F662" s="63" t="s">
        <v>2380</v>
      </c>
      <c r="G662" s="63" t="s">
        <v>3952</v>
      </c>
      <c r="H662" s="63" t="s">
        <v>18</v>
      </c>
      <c r="I662" s="63" t="s">
        <v>750</v>
      </c>
    </row>
    <row r="663" ht="11.25" customHeight="1">
      <c r="A663" s="63" t="s">
        <v>2167</v>
      </c>
      <c r="B663" s="63" t="s">
        <v>14</v>
      </c>
      <c r="C663" s="63" t="s">
        <v>3953</v>
      </c>
      <c r="D663" s="63" t="s">
        <v>3954</v>
      </c>
      <c r="E663" s="63" t="s">
        <v>3955</v>
      </c>
      <c r="F663" s="63" t="s">
        <v>2319</v>
      </c>
      <c r="G663" s="63" t="s">
        <v>18</v>
      </c>
      <c r="H663" s="63" t="s">
        <v>18</v>
      </c>
      <c r="I663" s="63" t="s">
        <v>750</v>
      </c>
    </row>
    <row r="664" ht="11.25" customHeight="1">
      <c r="A664" s="63" t="s">
        <v>2167</v>
      </c>
      <c r="B664" s="63" t="s">
        <v>14</v>
      </c>
      <c r="C664" s="63" t="s">
        <v>3956</v>
      </c>
      <c r="D664" s="63" t="s">
        <v>3957</v>
      </c>
      <c r="E664" s="63" t="s">
        <v>3958</v>
      </c>
      <c r="F664" s="63" t="s">
        <v>2522</v>
      </c>
      <c r="G664" s="63" t="s">
        <v>3959</v>
      </c>
      <c r="H664" s="63" t="s">
        <v>18</v>
      </c>
      <c r="I664" s="63" t="s">
        <v>750</v>
      </c>
    </row>
    <row r="665" ht="11.25" customHeight="1">
      <c r="A665" s="63" t="s">
        <v>2167</v>
      </c>
      <c r="B665" s="63" t="s">
        <v>14</v>
      </c>
      <c r="C665" s="63" t="s">
        <v>3960</v>
      </c>
      <c r="D665" s="63" t="s">
        <v>3961</v>
      </c>
      <c r="E665" s="63" t="s">
        <v>3962</v>
      </c>
      <c r="F665" s="63" t="s">
        <v>2465</v>
      </c>
      <c r="G665" s="63" t="s">
        <v>3963</v>
      </c>
      <c r="H665" s="63" t="s">
        <v>18</v>
      </c>
      <c r="I665" s="63" t="s">
        <v>750</v>
      </c>
    </row>
    <row r="666" ht="11.25" customHeight="1">
      <c r="A666" s="63" t="s">
        <v>2167</v>
      </c>
      <c r="B666" s="63" t="s">
        <v>14</v>
      </c>
      <c r="C666" s="63" t="s">
        <v>3964</v>
      </c>
      <c r="D666" s="63" t="s">
        <v>3965</v>
      </c>
      <c r="E666" s="63" t="s">
        <v>3966</v>
      </c>
      <c r="F666" s="63" t="s">
        <v>2426</v>
      </c>
      <c r="G666" s="63" t="s">
        <v>3967</v>
      </c>
      <c r="H666" s="63" t="s">
        <v>18</v>
      </c>
      <c r="I666" s="63" t="s">
        <v>750</v>
      </c>
    </row>
    <row r="667" ht="11.25" customHeight="1">
      <c r="A667" s="63" t="s">
        <v>2167</v>
      </c>
      <c r="B667" s="63" t="s">
        <v>14</v>
      </c>
      <c r="C667" s="63" t="s">
        <v>3968</v>
      </c>
      <c r="D667" s="63" t="s">
        <v>3969</v>
      </c>
      <c r="E667" s="63" t="s">
        <v>3970</v>
      </c>
      <c r="F667" s="63" t="s">
        <v>2465</v>
      </c>
      <c r="G667" s="63" t="s">
        <v>3971</v>
      </c>
      <c r="H667" s="63" t="s">
        <v>18</v>
      </c>
      <c r="I667" s="63" t="s">
        <v>750</v>
      </c>
    </row>
    <row r="668" ht="11.25" customHeight="1">
      <c r="A668" s="63" t="s">
        <v>2167</v>
      </c>
      <c r="B668" s="63" t="s">
        <v>14</v>
      </c>
      <c r="C668" s="63" t="s">
        <v>3972</v>
      </c>
      <c r="D668" s="63" t="s">
        <v>3973</v>
      </c>
      <c r="E668" s="63" t="s">
        <v>3974</v>
      </c>
      <c r="F668" s="63" t="s">
        <v>2426</v>
      </c>
      <c r="G668" s="63" t="s">
        <v>3975</v>
      </c>
      <c r="H668" s="63" t="s">
        <v>18</v>
      </c>
      <c r="I668" s="63" t="s">
        <v>750</v>
      </c>
    </row>
    <row r="669" ht="11.25" customHeight="1">
      <c r="A669" s="63" t="s">
        <v>2167</v>
      </c>
      <c r="B669" s="63" t="s">
        <v>14</v>
      </c>
      <c r="C669" s="63" t="s">
        <v>3976</v>
      </c>
      <c r="D669" s="63" t="s">
        <v>3977</v>
      </c>
      <c r="E669" s="63" t="s">
        <v>3978</v>
      </c>
      <c r="F669" s="63" t="s">
        <v>2426</v>
      </c>
      <c r="G669" s="63" t="s">
        <v>3979</v>
      </c>
      <c r="H669" s="63" t="s">
        <v>18</v>
      </c>
      <c r="I669" s="63" t="s">
        <v>750</v>
      </c>
    </row>
    <row r="670" ht="11.25" customHeight="1">
      <c r="A670" s="63" t="s">
        <v>2167</v>
      </c>
      <c r="B670" s="63" t="s">
        <v>14</v>
      </c>
      <c r="C670" s="63" t="s">
        <v>3980</v>
      </c>
      <c r="D670" s="63" t="s">
        <v>3981</v>
      </c>
      <c r="E670" s="63" t="s">
        <v>3982</v>
      </c>
      <c r="F670" s="63" t="s">
        <v>2538</v>
      </c>
      <c r="G670" s="63" t="s">
        <v>2558</v>
      </c>
      <c r="H670" s="63" t="s">
        <v>18</v>
      </c>
      <c r="I670" s="63" t="s">
        <v>750</v>
      </c>
    </row>
    <row r="671" ht="11.25" customHeight="1">
      <c r="A671" s="63" t="s">
        <v>2167</v>
      </c>
      <c r="B671" s="63" t="s">
        <v>14</v>
      </c>
      <c r="C671" s="63" t="s">
        <v>3983</v>
      </c>
      <c r="D671" s="63" t="s">
        <v>3984</v>
      </c>
      <c r="E671" s="63" t="s">
        <v>3985</v>
      </c>
      <c r="F671" s="63" t="s">
        <v>2465</v>
      </c>
      <c r="G671" s="63" t="s">
        <v>3986</v>
      </c>
      <c r="H671" s="63" t="s">
        <v>18</v>
      </c>
      <c r="I671" s="63" t="s">
        <v>750</v>
      </c>
    </row>
    <row r="672" ht="11.25" customHeight="1">
      <c r="A672" s="63" t="s">
        <v>2167</v>
      </c>
      <c r="B672" s="63" t="s">
        <v>14</v>
      </c>
      <c r="C672" s="63" t="s">
        <v>3987</v>
      </c>
      <c r="D672" s="63" t="s">
        <v>3988</v>
      </c>
      <c r="E672" s="63" t="s">
        <v>3989</v>
      </c>
      <c r="F672" s="63" t="s">
        <v>3127</v>
      </c>
      <c r="G672" s="63" t="s">
        <v>3735</v>
      </c>
      <c r="H672" s="63" t="s">
        <v>18</v>
      </c>
      <c r="I672" s="63" t="s">
        <v>750</v>
      </c>
    </row>
    <row r="673" ht="11.25" customHeight="1">
      <c r="A673" s="63" t="s">
        <v>2167</v>
      </c>
      <c r="B673" s="63" t="s">
        <v>14</v>
      </c>
      <c r="C673" s="63" t="s">
        <v>3990</v>
      </c>
      <c r="D673" s="63" t="s">
        <v>3991</v>
      </c>
      <c r="E673" s="63" t="s">
        <v>3992</v>
      </c>
      <c r="F673" s="63" t="s">
        <v>2506</v>
      </c>
      <c r="G673" s="63" t="s">
        <v>3993</v>
      </c>
      <c r="H673" s="63" t="s">
        <v>18</v>
      </c>
      <c r="I673" s="63" t="s">
        <v>750</v>
      </c>
    </row>
    <row r="674" ht="11.25" customHeight="1">
      <c r="A674" s="63" t="s">
        <v>2167</v>
      </c>
      <c r="B674" s="63" t="s">
        <v>14</v>
      </c>
      <c r="C674" s="63" t="s">
        <v>3994</v>
      </c>
      <c r="D674" s="63" t="s">
        <v>3995</v>
      </c>
      <c r="E674" s="63" t="s">
        <v>3996</v>
      </c>
      <c r="F674" s="63" t="s">
        <v>2311</v>
      </c>
      <c r="G674" s="63" t="s">
        <v>3997</v>
      </c>
      <c r="H674" s="63" t="s">
        <v>18</v>
      </c>
      <c r="I674" s="63" t="s">
        <v>750</v>
      </c>
    </row>
    <row r="675" ht="11.25" customHeight="1">
      <c r="A675" s="63" t="s">
        <v>2167</v>
      </c>
      <c r="B675" s="63" t="s">
        <v>14</v>
      </c>
      <c r="C675" s="63" t="s">
        <v>2559</v>
      </c>
      <c r="D675" s="63" t="s">
        <v>2560</v>
      </c>
      <c r="E675" s="63" t="s">
        <v>2561</v>
      </c>
      <c r="F675" s="63" t="s">
        <v>2319</v>
      </c>
      <c r="G675" s="63" t="s">
        <v>2562</v>
      </c>
      <c r="H675" s="63" t="s">
        <v>18</v>
      </c>
      <c r="I675" s="63" t="s">
        <v>750</v>
      </c>
    </row>
    <row r="676" ht="11.25" customHeight="1">
      <c r="A676" s="63" t="s">
        <v>2167</v>
      </c>
      <c r="B676" s="63" t="s">
        <v>14</v>
      </c>
      <c r="C676" s="63" t="s">
        <v>3998</v>
      </c>
      <c r="D676" s="63" t="s">
        <v>3999</v>
      </c>
      <c r="E676" s="63" t="s">
        <v>4000</v>
      </c>
      <c r="F676" s="63" t="s">
        <v>2483</v>
      </c>
      <c r="G676" s="63" t="s">
        <v>18</v>
      </c>
      <c r="H676" s="63" t="s">
        <v>18</v>
      </c>
      <c r="I676" s="63" t="s">
        <v>750</v>
      </c>
    </row>
    <row r="677" ht="11.25" customHeight="1">
      <c r="A677" s="63" t="s">
        <v>2167</v>
      </c>
      <c r="B677" s="63" t="s">
        <v>14</v>
      </c>
      <c r="C677" s="63" t="s">
        <v>2563</v>
      </c>
      <c r="D677" s="63" t="s">
        <v>2564</v>
      </c>
      <c r="E677" s="63" t="s">
        <v>2565</v>
      </c>
      <c r="F677" s="63" t="s">
        <v>2483</v>
      </c>
      <c r="G677" s="63" t="s">
        <v>18</v>
      </c>
      <c r="H677" s="63" t="s">
        <v>18</v>
      </c>
      <c r="I677" s="63" t="s">
        <v>750</v>
      </c>
    </row>
    <row r="678" ht="11.25" customHeight="1">
      <c r="A678" s="63" t="s">
        <v>2167</v>
      </c>
      <c r="B678" s="63" t="s">
        <v>14</v>
      </c>
      <c r="C678" s="63" t="s">
        <v>4001</v>
      </c>
      <c r="D678" s="63" t="s">
        <v>4002</v>
      </c>
      <c r="E678" s="63" t="s">
        <v>4003</v>
      </c>
      <c r="F678" s="63" t="s">
        <v>3127</v>
      </c>
      <c r="G678" s="63" t="s">
        <v>4004</v>
      </c>
      <c r="H678" s="63" t="s">
        <v>18</v>
      </c>
      <c r="I678" s="63" t="s">
        <v>750</v>
      </c>
    </row>
    <row r="679" ht="11.25" customHeight="1">
      <c r="A679" s="63" t="s">
        <v>2167</v>
      </c>
      <c r="B679" s="63" t="s">
        <v>14</v>
      </c>
      <c r="C679" s="63" t="s">
        <v>4005</v>
      </c>
      <c r="D679" s="63" t="s">
        <v>4006</v>
      </c>
      <c r="E679" s="63" t="s">
        <v>4007</v>
      </c>
      <c r="F679" s="63" t="s">
        <v>2413</v>
      </c>
      <c r="G679" s="63" t="s">
        <v>4008</v>
      </c>
      <c r="H679" s="63" t="s">
        <v>18</v>
      </c>
      <c r="I679" s="63" t="s">
        <v>750</v>
      </c>
    </row>
    <row r="680" ht="11.25" customHeight="1">
      <c r="A680" s="63" t="s">
        <v>2167</v>
      </c>
      <c r="B680" s="63" t="s">
        <v>14</v>
      </c>
      <c r="C680" s="63" t="s">
        <v>4009</v>
      </c>
      <c r="D680" s="63" t="s">
        <v>4010</v>
      </c>
      <c r="E680" s="63" t="s">
        <v>4011</v>
      </c>
      <c r="F680" s="63" t="s">
        <v>3496</v>
      </c>
      <c r="G680" s="63" t="s">
        <v>4012</v>
      </c>
      <c r="H680" s="63" t="s">
        <v>18</v>
      </c>
      <c r="I680" s="63" t="s">
        <v>750</v>
      </c>
    </row>
    <row r="681" ht="11.25" customHeight="1">
      <c r="A681" s="63" t="s">
        <v>2167</v>
      </c>
      <c r="B681" s="63" t="s">
        <v>14</v>
      </c>
      <c r="C681" s="63" t="s">
        <v>2574</v>
      </c>
      <c r="D681" s="63" t="s">
        <v>2575</v>
      </c>
      <c r="E681" s="63" t="s">
        <v>2576</v>
      </c>
      <c r="F681" s="63" t="s">
        <v>2577</v>
      </c>
      <c r="G681" s="63" t="s">
        <v>2578</v>
      </c>
      <c r="H681" s="63" t="s">
        <v>18</v>
      </c>
      <c r="I681" s="63" t="s">
        <v>750</v>
      </c>
    </row>
    <row r="682" ht="11.25" customHeight="1">
      <c r="A682" s="63" t="s">
        <v>2167</v>
      </c>
      <c r="B682" s="63" t="s">
        <v>14</v>
      </c>
      <c r="C682" s="63" t="s">
        <v>4013</v>
      </c>
      <c r="D682" s="63" t="s">
        <v>4014</v>
      </c>
      <c r="E682" s="63" t="s">
        <v>4015</v>
      </c>
      <c r="F682" s="63" t="s">
        <v>2506</v>
      </c>
      <c r="G682" s="63" t="s">
        <v>4016</v>
      </c>
      <c r="H682" s="63" t="s">
        <v>18</v>
      </c>
      <c r="I682" s="63" t="s">
        <v>750</v>
      </c>
    </row>
    <row r="683" ht="11.25" customHeight="1">
      <c r="A683" s="63" t="s">
        <v>2167</v>
      </c>
      <c r="B683" s="63" t="s">
        <v>14</v>
      </c>
      <c r="C683" s="63" t="s">
        <v>4017</v>
      </c>
      <c r="D683" s="63" t="s">
        <v>4018</v>
      </c>
      <c r="E683" s="63" t="s">
        <v>4019</v>
      </c>
      <c r="F683" s="63" t="s">
        <v>2303</v>
      </c>
      <c r="G683" s="63" t="s">
        <v>4020</v>
      </c>
      <c r="H683" s="63" t="s">
        <v>18</v>
      </c>
      <c r="I683" s="63" t="s">
        <v>750</v>
      </c>
    </row>
    <row r="684" ht="11.25" customHeight="1">
      <c r="A684" s="63" t="s">
        <v>2167</v>
      </c>
      <c r="B684" s="63" t="s">
        <v>14</v>
      </c>
      <c r="C684" s="63" t="s">
        <v>4021</v>
      </c>
      <c r="D684" s="63" t="s">
        <v>4022</v>
      </c>
      <c r="E684" s="63" t="s">
        <v>4023</v>
      </c>
      <c r="F684" s="63" t="s">
        <v>2319</v>
      </c>
      <c r="G684" s="63" t="s">
        <v>4024</v>
      </c>
      <c r="H684" s="63" t="s">
        <v>18</v>
      </c>
      <c r="I684" s="63" t="s">
        <v>750</v>
      </c>
    </row>
    <row r="685" ht="11.25" customHeight="1">
      <c r="A685" s="63" t="s">
        <v>2167</v>
      </c>
      <c r="B685" s="63" t="s">
        <v>14</v>
      </c>
      <c r="C685" s="63" t="s">
        <v>4025</v>
      </c>
      <c r="D685" s="63" t="s">
        <v>4026</v>
      </c>
      <c r="E685" s="63" t="s">
        <v>4027</v>
      </c>
      <c r="F685" s="63" t="s">
        <v>3127</v>
      </c>
      <c r="G685" s="63" t="s">
        <v>4028</v>
      </c>
      <c r="H685" s="63" t="s">
        <v>18</v>
      </c>
      <c r="I685" s="63" t="s">
        <v>750</v>
      </c>
    </row>
    <row r="686" ht="11.25" customHeight="1">
      <c r="A686" s="63" t="s">
        <v>2167</v>
      </c>
      <c r="B686" s="63" t="s">
        <v>14</v>
      </c>
      <c r="C686" s="63" t="s">
        <v>4029</v>
      </c>
      <c r="D686" s="63" t="s">
        <v>4030</v>
      </c>
      <c r="E686" s="63" t="s">
        <v>4031</v>
      </c>
      <c r="F686" s="63" t="s">
        <v>2514</v>
      </c>
      <c r="G686" s="63" t="s">
        <v>4032</v>
      </c>
      <c r="H686" s="63" t="s">
        <v>18</v>
      </c>
      <c r="I686" s="63" t="s">
        <v>750</v>
      </c>
    </row>
    <row r="687" ht="11.25" customHeight="1">
      <c r="A687" s="63" t="s">
        <v>2167</v>
      </c>
      <c r="B687" s="63" t="s">
        <v>14</v>
      </c>
      <c r="C687" s="63" t="s">
        <v>4033</v>
      </c>
      <c r="D687" s="63" t="s">
        <v>4034</v>
      </c>
      <c r="E687" s="63" t="s">
        <v>4035</v>
      </c>
      <c r="F687" s="63" t="s">
        <v>2593</v>
      </c>
      <c r="G687" s="63" t="s">
        <v>4036</v>
      </c>
      <c r="H687" s="63" t="s">
        <v>18</v>
      </c>
      <c r="I687" s="63" t="s">
        <v>750</v>
      </c>
    </row>
    <row r="688" ht="11.25" customHeight="1">
      <c r="A688" s="63" t="s">
        <v>2167</v>
      </c>
      <c r="B688" s="63" t="s">
        <v>14</v>
      </c>
      <c r="C688" s="63" t="s">
        <v>4037</v>
      </c>
      <c r="D688" s="63" t="s">
        <v>4038</v>
      </c>
      <c r="E688" s="63" t="s">
        <v>4039</v>
      </c>
      <c r="F688" s="63" t="s">
        <v>2514</v>
      </c>
      <c r="G688" s="63" t="s">
        <v>4040</v>
      </c>
      <c r="H688" s="63" t="s">
        <v>18</v>
      </c>
      <c r="I688" s="63" t="s">
        <v>750</v>
      </c>
    </row>
    <row r="689" ht="11.25" customHeight="1">
      <c r="A689" s="63" t="s">
        <v>2167</v>
      </c>
      <c r="B689" s="63" t="s">
        <v>14</v>
      </c>
      <c r="C689" s="63" t="s">
        <v>4041</v>
      </c>
      <c r="D689" s="63" t="s">
        <v>4042</v>
      </c>
      <c r="E689" s="63" t="s">
        <v>4043</v>
      </c>
      <c r="F689" s="63" t="s">
        <v>2370</v>
      </c>
      <c r="G689" s="63" t="s">
        <v>4044</v>
      </c>
      <c r="H689" s="63" t="s">
        <v>18</v>
      </c>
      <c r="I689" s="63" t="s">
        <v>750</v>
      </c>
    </row>
    <row r="690" ht="11.25" customHeight="1">
      <c r="A690" s="63" t="s">
        <v>2167</v>
      </c>
      <c r="B690" s="63" t="s">
        <v>14</v>
      </c>
      <c r="C690" s="63" t="s">
        <v>2616</v>
      </c>
      <c r="D690" s="63" t="s">
        <v>2617</v>
      </c>
      <c r="E690" s="63" t="s">
        <v>2618</v>
      </c>
      <c r="F690" s="63" t="s">
        <v>2483</v>
      </c>
      <c r="G690" s="63" t="s">
        <v>18</v>
      </c>
      <c r="H690" s="63" t="s">
        <v>18</v>
      </c>
      <c r="I690" s="63" t="s">
        <v>750</v>
      </c>
    </row>
    <row r="691" ht="11.25" customHeight="1">
      <c r="A691" s="63" t="s">
        <v>2167</v>
      </c>
      <c r="B691" s="63" t="s">
        <v>14</v>
      </c>
      <c r="C691" s="63" t="s">
        <v>4045</v>
      </c>
      <c r="D691" s="63" t="s">
        <v>4046</v>
      </c>
      <c r="E691" s="63" t="s">
        <v>4047</v>
      </c>
      <c r="F691" s="63" t="s">
        <v>2506</v>
      </c>
      <c r="G691" s="63" t="s">
        <v>3993</v>
      </c>
      <c r="H691" s="63" t="s">
        <v>18</v>
      </c>
      <c r="I691" s="63" t="s">
        <v>750</v>
      </c>
    </row>
    <row r="692" ht="11.25" customHeight="1">
      <c r="A692" s="63" t="s">
        <v>2167</v>
      </c>
      <c r="B692" s="63" t="s">
        <v>14</v>
      </c>
      <c r="C692" s="63" t="s">
        <v>4048</v>
      </c>
      <c r="D692" s="63" t="s">
        <v>4049</v>
      </c>
      <c r="E692" s="63" t="s">
        <v>4050</v>
      </c>
      <c r="F692" s="63" t="s">
        <v>2538</v>
      </c>
      <c r="G692" s="63" t="s">
        <v>4051</v>
      </c>
      <c r="H692" s="63" t="s">
        <v>18</v>
      </c>
      <c r="I692" s="63" t="s">
        <v>750</v>
      </c>
    </row>
    <row r="693" ht="11.25" customHeight="1">
      <c r="A693" s="63" t="s">
        <v>2167</v>
      </c>
      <c r="B693" s="63" t="s">
        <v>14</v>
      </c>
      <c r="C693" s="63" t="s">
        <v>4052</v>
      </c>
      <c r="D693" s="63" t="s">
        <v>4053</v>
      </c>
      <c r="E693" s="63" t="s">
        <v>4054</v>
      </c>
      <c r="F693" s="63" t="s">
        <v>2506</v>
      </c>
      <c r="G693" s="63" t="s">
        <v>4055</v>
      </c>
      <c r="H693" s="63" t="s">
        <v>18</v>
      </c>
      <c r="I693" s="63" t="s">
        <v>750</v>
      </c>
    </row>
    <row r="694" ht="11.25" customHeight="1">
      <c r="A694" s="63" t="s">
        <v>2167</v>
      </c>
      <c r="B694" s="63" t="s">
        <v>14</v>
      </c>
      <c r="C694" s="63" t="s">
        <v>4056</v>
      </c>
      <c r="D694" s="63" t="s">
        <v>4057</v>
      </c>
      <c r="E694" s="63" t="s">
        <v>4058</v>
      </c>
      <c r="F694" s="63" t="s">
        <v>2593</v>
      </c>
      <c r="G694" s="63" t="s">
        <v>4059</v>
      </c>
      <c r="H694" s="63" t="s">
        <v>18</v>
      </c>
      <c r="I694" s="63" t="s">
        <v>750</v>
      </c>
    </row>
    <row r="695" ht="11.25" customHeight="1">
      <c r="A695" s="63" t="s">
        <v>2167</v>
      </c>
      <c r="B695" s="63" t="s">
        <v>14</v>
      </c>
      <c r="C695" s="63" t="s">
        <v>4060</v>
      </c>
      <c r="D695" s="63" t="s">
        <v>4061</v>
      </c>
      <c r="E695" s="63" t="s">
        <v>4062</v>
      </c>
      <c r="F695" s="63" t="s">
        <v>2218</v>
      </c>
      <c r="G695" s="63" t="s">
        <v>4063</v>
      </c>
      <c r="H695" s="63" t="s">
        <v>18</v>
      </c>
      <c r="I695" s="63" t="s">
        <v>750</v>
      </c>
    </row>
    <row r="696" ht="11.25" customHeight="1">
      <c r="A696" s="63" t="s">
        <v>2167</v>
      </c>
      <c r="B696" s="63" t="s">
        <v>14</v>
      </c>
      <c r="C696" s="63" t="s">
        <v>4064</v>
      </c>
      <c r="D696" s="63" t="s">
        <v>4065</v>
      </c>
      <c r="E696" s="63" t="s">
        <v>4066</v>
      </c>
      <c r="F696" s="63" t="s">
        <v>2303</v>
      </c>
      <c r="G696" s="63" t="s">
        <v>3986</v>
      </c>
      <c r="H696" s="63" t="s">
        <v>18</v>
      </c>
      <c r="I696" s="63" t="s">
        <v>750</v>
      </c>
    </row>
    <row r="697" ht="11.25" customHeight="1">
      <c r="A697" s="63" t="s">
        <v>2167</v>
      </c>
      <c r="B697" s="63" t="s">
        <v>14</v>
      </c>
      <c r="C697" s="63" t="s">
        <v>4067</v>
      </c>
      <c r="D697" s="63" t="s">
        <v>4068</v>
      </c>
      <c r="E697" s="63" t="s">
        <v>4069</v>
      </c>
      <c r="F697" s="63" t="s">
        <v>2506</v>
      </c>
      <c r="G697" s="63" t="s">
        <v>4070</v>
      </c>
      <c r="H697" s="63" t="s">
        <v>18</v>
      </c>
      <c r="I697" s="63" t="s">
        <v>750</v>
      </c>
    </row>
    <row r="698" ht="11.25" customHeight="1">
      <c r="A698" s="63" t="s">
        <v>2167</v>
      </c>
      <c r="B698" s="63" t="s">
        <v>14</v>
      </c>
      <c r="C698" s="63" t="s">
        <v>4071</v>
      </c>
      <c r="D698" s="63" t="s">
        <v>4072</v>
      </c>
      <c r="E698" s="63" t="s">
        <v>4073</v>
      </c>
      <c r="F698" s="63" t="s">
        <v>2593</v>
      </c>
      <c r="G698" s="63" t="s">
        <v>4074</v>
      </c>
      <c r="H698" s="63" t="s">
        <v>18</v>
      </c>
      <c r="I698" s="63" t="s">
        <v>750</v>
      </c>
    </row>
    <row r="699" ht="11.25" customHeight="1">
      <c r="A699" s="63" t="s">
        <v>2167</v>
      </c>
      <c r="B699" s="63" t="s">
        <v>14</v>
      </c>
      <c r="C699" s="63" t="s">
        <v>4075</v>
      </c>
      <c r="D699" s="63" t="s">
        <v>4076</v>
      </c>
      <c r="E699" s="63" t="s">
        <v>4077</v>
      </c>
      <c r="F699" s="63" t="s">
        <v>2550</v>
      </c>
      <c r="G699" s="63" t="s">
        <v>4078</v>
      </c>
      <c r="H699" s="63" t="s">
        <v>18</v>
      </c>
      <c r="I699" s="63" t="s">
        <v>750</v>
      </c>
    </row>
    <row r="700" ht="11.25" customHeight="1">
      <c r="A700" s="63" t="s">
        <v>2167</v>
      </c>
      <c r="B700" s="63" t="s">
        <v>14</v>
      </c>
      <c r="C700" s="63" t="s">
        <v>4079</v>
      </c>
      <c r="D700" s="63" t="s">
        <v>4080</v>
      </c>
      <c r="E700" s="63" t="s">
        <v>4081</v>
      </c>
      <c r="F700" s="63" t="s">
        <v>2171</v>
      </c>
      <c r="G700" s="63" t="s">
        <v>4082</v>
      </c>
      <c r="H700" s="63" t="s">
        <v>18</v>
      </c>
      <c r="I700" s="63" t="s">
        <v>750</v>
      </c>
    </row>
    <row r="701" ht="11.25" customHeight="1">
      <c r="A701" s="63" t="s">
        <v>2167</v>
      </c>
      <c r="B701" s="63" t="s">
        <v>14</v>
      </c>
      <c r="C701" s="63" t="s">
        <v>4083</v>
      </c>
      <c r="D701" s="63" t="s">
        <v>4084</v>
      </c>
      <c r="E701" s="63" t="s">
        <v>4085</v>
      </c>
      <c r="F701" s="63" t="s">
        <v>2898</v>
      </c>
      <c r="G701" s="63" t="s">
        <v>4086</v>
      </c>
      <c r="H701" s="63" t="s">
        <v>18</v>
      </c>
      <c r="I701" s="63" t="s">
        <v>750</v>
      </c>
    </row>
    <row r="702" ht="11.25" customHeight="1">
      <c r="A702" s="63" t="s">
        <v>2167</v>
      </c>
      <c r="B702" s="63" t="s">
        <v>14</v>
      </c>
      <c r="C702" s="63" t="s">
        <v>4087</v>
      </c>
      <c r="D702" s="63" t="s">
        <v>4088</v>
      </c>
      <c r="E702" s="63" t="s">
        <v>4089</v>
      </c>
      <c r="F702" s="63" t="s">
        <v>2303</v>
      </c>
      <c r="G702" s="63" t="s">
        <v>4090</v>
      </c>
      <c r="H702" s="63" t="s">
        <v>18</v>
      </c>
      <c r="I702" s="63" t="s">
        <v>750</v>
      </c>
    </row>
    <row r="703" ht="11.25" customHeight="1">
      <c r="A703" s="63" t="s">
        <v>2167</v>
      </c>
      <c r="B703" s="63" t="s">
        <v>14</v>
      </c>
      <c r="C703" s="63" t="s">
        <v>4091</v>
      </c>
      <c r="D703" s="63" t="s">
        <v>4092</v>
      </c>
      <c r="E703" s="63" t="s">
        <v>4093</v>
      </c>
      <c r="F703" s="63" t="s">
        <v>2593</v>
      </c>
      <c r="G703" s="63" t="s">
        <v>4094</v>
      </c>
      <c r="H703" s="63" t="s">
        <v>18</v>
      </c>
      <c r="I703" s="63" t="s">
        <v>750</v>
      </c>
    </row>
    <row r="704" ht="11.25" customHeight="1">
      <c r="A704" s="63" t="s">
        <v>2167</v>
      </c>
      <c r="B704" s="63" t="s">
        <v>14</v>
      </c>
      <c r="C704" s="63" t="s">
        <v>4095</v>
      </c>
      <c r="D704" s="63" t="s">
        <v>4096</v>
      </c>
      <c r="E704" s="63" t="s">
        <v>4097</v>
      </c>
      <c r="F704" s="63" t="s">
        <v>2506</v>
      </c>
      <c r="G704" s="63" t="s">
        <v>4098</v>
      </c>
      <c r="H704" s="63" t="s">
        <v>18</v>
      </c>
      <c r="I704" s="63" t="s">
        <v>750</v>
      </c>
    </row>
    <row r="705" ht="11.25" customHeight="1">
      <c r="A705" s="63" t="s">
        <v>2167</v>
      </c>
      <c r="B705" s="63" t="s">
        <v>14</v>
      </c>
      <c r="C705" s="63" t="s">
        <v>4099</v>
      </c>
      <c r="D705" s="63" t="s">
        <v>4100</v>
      </c>
      <c r="E705" s="63" t="s">
        <v>4101</v>
      </c>
      <c r="F705" s="63" t="s">
        <v>2898</v>
      </c>
      <c r="G705" s="63" t="s">
        <v>4102</v>
      </c>
      <c r="H705" s="63" t="s">
        <v>18</v>
      </c>
      <c r="I705" s="63" t="s">
        <v>750</v>
      </c>
    </row>
    <row r="706" ht="11.25" customHeight="1">
      <c r="A706" s="63" t="s">
        <v>2167</v>
      </c>
      <c r="B706" s="63" t="s">
        <v>14</v>
      </c>
      <c r="C706" s="63" t="s">
        <v>4103</v>
      </c>
      <c r="D706" s="63" t="s">
        <v>4104</v>
      </c>
      <c r="E706" s="63" t="s">
        <v>4105</v>
      </c>
      <c r="F706" s="63" t="s">
        <v>2593</v>
      </c>
      <c r="G706" s="63" t="s">
        <v>4106</v>
      </c>
      <c r="H706" s="63" t="s">
        <v>18</v>
      </c>
      <c r="I706" s="63" t="s">
        <v>750</v>
      </c>
    </row>
    <row r="707" ht="11.25" customHeight="1">
      <c r="A707" s="63" t="s">
        <v>2167</v>
      </c>
      <c r="B707" s="63" t="s">
        <v>14</v>
      </c>
      <c r="C707" s="63" t="s">
        <v>4107</v>
      </c>
      <c r="D707" s="63" t="s">
        <v>4108</v>
      </c>
      <c r="E707" s="63" t="s">
        <v>4109</v>
      </c>
      <c r="F707" s="63" t="s">
        <v>2303</v>
      </c>
      <c r="G707" s="63" t="s">
        <v>4110</v>
      </c>
      <c r="H707" s="63" t="s">
        <v>18</v>
      </c>
      <c r="I707" s="63" t="s">
        <v>750</v>
      </c>
    </row>
    <row r="708" ht="11.25" customHeight="1">
      <c r="A708" s="63" t="s">
        <v>2167</v>
      </c>
      <c r="B708" s="63" t="s">
        <v>14</v>
      </c>
      <c r="C708" s="63" t="s">
        <v>4111</v>
      </c>
      <c r="D708" s="63" t="s">
        <v>4112</v>
      </c>
      <c r="E708" s="63" t="s">
        <v>4113</v>
      </c>
      <c r="F708" s="63" t="s">
        <v>2303</v>
      </c>
      <c r="G708" s="63" t="s">
        <v>4114</v>
      </c>
      <c r="H708" s="63" t="s">
        <v>18</v>
      </c>
      <c r="I708" s="63" t="s">
        <v>750</v>
      </c>
    </row>
    <row r="709" ht="11.25" customHeight="1">
      <c r="A709" s="63" t="s">
        <v>2167</v>
      </c>
      <c r="B709" s="63" t="s">
        <v>14</v>
      </c>
      <c r="C709" s="63" t="s">
        <v>4115</v>
      </c>
      <c r="D709" s="63" t="s">
        <v>4116</v>
      </c>
      <c r="E709" s="63" t="s">
        <v>4117</v>
      </c>
      <c r="F709" s="63" t="s">
        <v>2474</v>
      </c>
      <c r="G709" s="63" t="s">
        <v>18</v>
      </c>
      <c r="H709" s="63" t="s">
        <v>18</v>
      </c>
      <c r="I709" s="63" t="s">
        <v>750</v>
      </c>
    </row>
    <row r="710" ht="11.25" customHeight="1">
      <c r="A710" s="63" t="s">
        <v>2167</v>
      </c>
      <c r="B710" s="63" t="s">
        <v>14</v>
      </c>
      <c r="C710" s="63" t="s">
        <v>4118</v>
      </c>
      <c r="D710" s="63" t="s">
        <v>4119</v>
      </c>
      <c r="E710" s="63" t="s">
        <v>4120</v>
      </c>
      <c r="F710" s="63" t="s">
        <v>2898</v>
      </c>
      <c r="G710" s="63" t="s">
        <v>4121</v>
      </c>
      <c r="H710" s="63" t="s">
        <v>18</v>
      </c>
      <c r="I710" s="63" t="s">
        <v>750</v>
      </c>
    </row>
    <row r="711" ht="11.25" customHeight="1">
      <c r="A711" s="63" t="s">
        <v>2167</v>
      </c>
      <c r="B711" s="63" t="s">
        <v>14</v>
      </c>
      <c r="C711" s="63" t="s">
        <v>4122</v>
      </c>
      <c r="D711" s="63" t="s">
        <v>4123</v>
      </c>
      <c r="E711" s="63" t="s">
        <v>4124</v>
      </c>
      <c r="F711" s="63" t="s">
        <v>2898</v>
      </c>
      <c r="G711" s="63" t="s">
        <v>4125</v>
      </c>
      <c r="H711" s="63" t="s">
        <v>18</v>
      </c>
      <c r="I711" s="63" t="s">
        <v>750</v>
      </c>
    </row>
    <row r="712" ht="11.25" customHeight="1">
      <c r="A712" s="63" t="s">
        <v>2167</v>
      </c>
      <c r="B712" s="63" t="s">
        <v>14</v>
      </c>
      <c r="C712" s="63" t="s">
        <v>2632</v>
      </c>
      <c r="D712" s="63" t="s">
        <v>2633</v>
      </c>
      <c r="E712" s="63" t="s">
        <v>2634</v>
      </c>
      <c r="F712" s="63" t="s">
        <v>2483</v>
      </c>
      <c r="G712" s="63" t="s">
        <v>18</v>
      </c>
      <c r="H712" s="63" t="s">
        <v>18</v>
      </c>
      <c r="I712" s="63" t="s">
        <v>750</v>
      </c>
    </row>
    <row r="713" ht="11.25" customHeight="1">
      <c r="A713" s="63" t="s">
        <v>2167</v>
      </c>
      <c r="B713" s="63" t="s">
        <v>14</v>
      </c>
      <c r="C713" s="63" t="s">
        <v>4126</v>
      </c>
      <c r="D713" s="63" t="s">
        <v>4127</v>
      </c>
      <c r="E713" s="63" t="s">
        <v>4128</v>
      </c>
      <c r="F713" s="63" t="s">
        <v>2303</v>
      </c>
      <c r="G713" s="63" t="s">
        <v>4129</v>
      </c>
      <c r="H713" s="63" t="s">
        <v>18</v>
      </c>
      <c r="I713" s="63" t="s">
        <v>750</v>
      </c>
    </row>
    <row r="714" ht="11.25" customHeight="1">
      <c r="A714" s="63" t="s">
        <v>2167</v>
      </c>
      <c r="B714" s="63" t="s">
        <v>14</v>
      </c>
      <c r="C714" s="63" t="s">
        <v>4130</v>
      </c>
      <c r="D714" s="63" t="s">
        <v>4131</v>
      </c>
      <c r="E714" s="63" t="s">
        <v>4132</v>
      </c>
      <c r="F714" s="63" t="s">
        <v>2474</v>
      </c>
      <c r="G714" s="63" t="s">
        <v>18</v>
      </c>
      <c r="H714" s="63" t="s">
        <v>18</v>
      </c>
      <c r="I714" s="63" t="s">
        <v>750</v>
      </c>
    </row>
    <row r="715" ht="11.25" customHeight="1">
      <c r="A715" s="63" t="s">
        <v>2167</v>
      </c>
      <c r="B715" s="63" t="s">
        <v>14</v>
      </c>
      <c r="C715" s="63" t="s">
        <v>2642</v>
      </c>
      <c r="D715" s="63" t="s">
        <v>2643</v>
      </c>
      <c r="E715" s="63" t="s">
        <v>2644</v>
      </c>
      <c r="F715" s="63" t="s">
        <v>2645</v>
      </c>
      <c r="G715" s="63" t="s">
        <v>2646</v>
      </c>
      <c r="H715" s="63" t="s">
        <v>18</v>
      </c>
      <c r="I715" s="63" t="s">
        <v>750</v>
      </c>
    </row>
    <row r="716" ht="11.25" customHeight="1">
      <c r="A716" s="63" t="s">
        <v>2167</v>
      </c>
      <c r="B716" s="63" t="s">
        <v>14</v>
      </c>
      <c r="C716" s="63" t="s">
        <v>4133</v>
      </c>
      <c r="D716" s="63" t="s">
        <v>4134</v>
      </c>
      <c r="E716" s="63" t="s">
        <v>4135</v>
      </c>
      <c r="F716" s="63" t="s">
        <v>2611</v>
      </c>
      <c r="G716" s="63" t="s">
        <v>4136</v>
      </c>
      <c r="H716" s="63" t="s">
        <v>18</v>
      </c>
      <c r="I716" s="63" t="s">
        <v>750</v>
      </c>
    </row>
    <row r="717" ht="11.25" customHeight="1">
      <c r="A717" s="63" t="s">
        <v>2167</v>
      </c>
      <c r="B717" s="63" t="s">
        <v>14</v>
      </c>
      <c r="C717" s="63" t="s">
        <v>4137</v>
      </c>
      <c r="D717" s="63" t="s">
        <v>4138</v>
      </c>
      <c r="E717" s="63" t="s">
        <v>4139</v>
      </c>
      <c r="F717" s="63" t="s">
        <v>2522</v>
      </c>
      <c r="G717" s="63" t="s">
        <v>18</v>
      </c>
      <c r="H717" s="63" t="s">
        <v>18</v>
      </c>
      <c r="I717" s="63" t="s">
        <v>750</v>
      </c>
    </row>
    <row r="718" ht="11.25" customHeight="1">
      <c r="A718" s="63" t="s">
        <v>2167</v>
      </c>
      <c r="B718" s="63" t="s">
        <v>14</v>
      </c>
      <c r="C718" s="63" t="s">
        <v>2647</v>
      </c>
      <c r="D718" s="63" t="s">
        <v>2648</v>
      </c>
      <c r="E718" s="63" t="s">
        <v>2649</v>
      </c>
      <c r="F718" s="63" t="s">
        <v>2291</v>
      </c>
      <c r="G718" s="63" t="s">
        <v>18</v>
      </c>
      <c r="H718" s="63" t="s">
        <v>18</v>
      </c>
      <c r="I718" s="63" t="s">
        <v>750</v>
      </c>
    </row>
    <row r="719" ht="11.25" customHeight="1">
      <c r="A719" s="63" t="s">
        <v>2167</v>
      </c>
      <c r="B719" s="63" t="s">
        <v>14</v>
      </c>
      <c r="C719" s="63" t="s">
        <v>4140</v>
      </c>
      <c r="D719" s="63" t="s">
        <v>4141</v>
      </c>
      <c r="E719" s="63" t="s">
        <v>4142</v>
      </c>
      <c r="F719" s="63" t="s">
        <v>2593</v>
      </c>
      <c r="G719" s="63" t="s">
        <v>4143</v>
      </c>
      <c r="H719" s="63" t="s">
        <v>18</v>
      </c>
      <c r="I719" s="63" t="s">
        <v>750</v>
      </c>
    </row>
    <row r="720" ht="11.25" customHeight="1">
      <c r="A720" s="63" t="s">
        <v>2167</v>
      </c>
      <c r="B720" s="63" t="s">
        <v>14</v>
      </c>
      <c r="C720" s="63" t="s">
        <v>2650</v>
      </c>
      <c r="D720" s="63" t="s">
        <v>2651</v>
      </c>
      <c r="E720" s="63" t="s">
        <v>2652</v>
      </c>
      <c r="F720" s="63" t="s">
        <v>2474</v>
      </c>
      <c r="G720" s="63" t="s">
        <v>18</v>
      </c>
      <c r="H720" s="63" t="s">
        <v>18</v>
      </c>
      <c r="I720" s="63" t="s">
        <v>750</v>
      </c>
    </row>
    <row r="721" ht="11.25" customHeight="1">
      <c r="A721" s="63" t="s">
        <v>2167</v>
      </c>
      <c r="B721" s="63" t="s">
        <v>14</v>
      </c>
      <c r="C721" s="63" t="s">
        <v>4144</v>
      </c>
      <c r="D721" s="63" t="s">
        <v>4145</v>
      </c>
      <c r="E721" s="63" t="s">
        <v>4146</v>
      </c>
      <c r="F721" s="63" t="s">
        <v>2185</v>
      </c>
      <c r="G721" s="63" t="s">
        <v>18</v>
      </c>
      <c r="H721" s="63" t="s">
        <v>18</v>
      </c>
      <c r="I721" s="63" t="s">
        <v>750</v>
      </c>
    </row>
    <row r="722" ht="11.25" customHeight="1">
      <c r="A722" s="63" t="s">
        <v>2167</v>
      </c>
      <c r="B722" s="63" t="s">
        <v>14</v>
      </c>
      <c r="C722" s="63" t="s">
        <v>4147</v>
      </c>
      <c r="D722" s="63" t="s">
        <v>4148</v>
      </c>
      <c r="E722" s="63" t="s">
        <v>4149</v>
      </c>
      <c r="F722" s="63" t="s">
        <v>2474</v>
      </c>
      <c r="G722" s="63" t="s">
        <v>18</v>
      </c>
      <c r="H722" s="63" t="s">
        <v>18</v>
      </c>
      <c r="I722" s="63" t="s">
        <v>750</v>
      </c>
    </row>
    <row r="723" ht="11.25" customHeight="1">
      <c r="A723" s="63" t="s">
        <v>2167</v>
      </c>
      <c r="B723" s="63" t="s">
        <v>14</v>
      </c>
      <c r="C723" s="63" t="s">
        <v>2657</v>
      </c>
      <c r="D723" s="63" t="s">
        <v>2658</v>
      </c>
      <c r="E723" s="63" t="s">
        <v>2659</v>
      </c>
      <c r="F723" s="63" t="s">
        <v>2630</v>
      </c>
      <c r="G723" s="63" t="s">
        <v>2660</v>
      </c>
      <c r="H723" s="63" t="s">
        <v>18</v>
      </c>
      <c r="I723" s="63" t="s">
        <v>750</v>
      </c>
    </row>
    <row r="724" ht="11.25" customHeight="1">
      <c r="A724" s="63" t="s">
        <v>2167</v>
      </c>
      <c r="B724" s="63" t="s">
        <v>14</v>
      </c>
      <c r="C724" s="63" t="s">
        <v>4150</v>
      </c>
      <c r="D724" s="63" t="s">
        <v>4151</v>
      </c>
      <c r="E724" s="63" t="s">
        <v>4152</v>
      </c>
      <c r="F724" s="63" t="s">
        <v>2593</v>
      </c>
      <c r="G724" s="63" t="s">
        <v>4094</v>
      </c>
      <c r="H724" s="63" t="s">
        <v>18</v>
      </c>
      <c r="I724" s="63" t="s">
        <v>750</v>
      </c>
    </row>
    <row r="725" ht="11.25" customHeight="1">
      <c r="A725" s="63" t="s">
        <v>2167</v>
      </c>
      <c r="B725" s="63" t="s">
        <v>14</v>
      </c>
      <c r="C725" s="63" t="s">
        <v>2661</v>
      </c>
      <c r="D725" s="63" t="s">
        <v>2662</v>
      </c>
      <c r="E725" s="63" t="s">
        <v>2663</v>
      </c>
      <c r="F725" s="63" t="s">
        <v>2577</v>
      </c>
      <c r="G725" s="63" t="s">
        <v>2664</v>
      </c>
      <c r="H725" s="63" t="s">
        <v>18</v>
      </c>
      <c r="I725" s="63" t="s">
        <v>750</v>
      </c>
    </row>
    <row r="726" ht="11.25" customHeight="1">
      <c r="A726" s="63" t="s">
        <v>2167</v>
      </c>
      <c r="B726" s="63" t="s">
        <v>14</v>
      </c>
      <c r="C726" s="63" t="s">
        <v>4153</v>
      </c>
      <c r="D726" s="63" t="s">
        <v>4154</v>
      </c>
      <c r="E726" s="63" t="s">
        <v>4155</v>
      </c>
      <c r="F726" s="63" t="s">
        <v>2240</v>
      </c>
      <c r="G726" s="63" t="s">
        <v>4024</v>
      </c>
      <c r="H726" s="63" t="s">
        <v>18</v>
      </c>
      <c r="I726" s="63" t="s">
        <v>750</v>
      </c>
    </row>
    <row r="727" ht="11.25" customHeight="1">
      <c r="A727" s="63" t="s">
        <v>2167</v>
      </c>
      <c r="B727" s="63" t="s">
        <v>14</v>
      </c>
      <c r="C727" s="63" t="s">
        <v>4156</v>
      </c>
      <c r="D727" s="63" t="s">
        <v>4157</v>
      </c>
      <c r="E727" s="63" t="s">
        <v>4158</v>
      </c>
      <c r="F727" s="63" t="s">
        <v>3496</v>
      </c>
      <c r="G727" s="63" t="s">
        <v>4159</v>
      </c>
      <c r="H727" s="63" t="s">
        <v>18</v>
      </c>
      <c r="I727" s="63" t="s">
        <v>750</v>
      </c>
    </row>
    <row r="728" ht="11.25" customHeight="1">
      <c r="A728" s="63" t="s">
        <v>2167</v>
      </c>
      <c r="B728" s="63" t="s">
        <v>14</v>
      </c>
      <c r="C728" s="63" t="s">
        <v>4160</v>
      </c>
      <c r="D728" s="63" t="s">
        <v>4161</v>
      </c>
      <c r="E728" s="63" t="s">
        <v>4162</v>
      </c>
      <c r="F728" s="63" t="s">
        <v>2630</v>
      </c>
      <c r="G728" s="63" t="s">
        <v>4163</v>
      </c>
      <c r="H728" s="63" t="s">
        <v>18</v>
      </c>
      <c r="I728" s="63" t="s">
        <v>750</v>
      </c>
    </row>
    <row r="729" ht="11.25" customHeight="1">
      <c r="A729" s="63" t="s">
        <v>2167</v>
      </c>
      <c r="B729" s="63" t="s">
        <v>14</v>
      </c>
      <c r="C729" s="63" t="s">
        <v>4164</v>
      </c>
      <c r="D729" s="63" t="s">
        <v>4165</v>
      </c>
      <c r="E729" s="63" t="s">
        <v>4166</v>
      </c>
      <c r="F729" s="63" t="s">
        <v>2185</v>
      </c>
      <c r="G729" s="63" t="s">
        <v>4167</v>
      </c>
      <c r="H729" s="63" t="s">
        <v>18</v>
      </c>
      <c r="I729" s="63" t="s">
        <v>750</v>
      </c>
    </row>
    <row r="730" ht="11.25" customHeight="1">
      <c r="A730" s="63" t="s">
        <v>2167</v>
      </c>
      <c r="B730" s="63" t="s">
        <v>14</v>
      </c>
      <c r="C730" s="63" t="s">
        <v>2669</v>
      </c>
      <c r="D730" s="63" t="s">
        <v>2670</v>
      </c>
      <c r="E730" s="63" t="s">
        <v>2671</v>
      </c>
      <c r="F730" s="63" t="s">
        <v>2311</v>
      </c>
      <c r="G730" s="63" t="s">
        <v>18</v>
      </c>
      <c r="H730" s="63" t="s">
        <v>18</v>
      </c>
      <c r="I730" s="63" t="s">
        <v>750</v>
      </c>
    </row>
    <row r="731" ht="11.25" customHeight="1">
      <c r="A731" s="63" t="s">
        <v>2167</v>
      </c>
      <c r="B731" s="63" t="s">
        <v>14</v>
      </c>
      <c r="C731" s="63" t="s">
        <v>4168</v>
      </c>
      <c r="D731" s="63" t="s">
        <v>4169</v>
      </c>
      <c r="E731" s="63" t="s">
        <v>4170</v>
      </c>
      <c r="F731" s="63" t="s">
        <v>2403</v>
      </c>
      <c r="G731" s="63" t="s">
        <v>18</v>
      </c>
      <c r="H731" s="63" t="s">
        <v>18</v>
      </c>
      <c r="I731" s="63" t="s">
        <v>750</v>
      </c>
    </row>
    <row r="732" ht="11.25" customHeight="1">
      <c r="A732" s="63" t="s">
        <v>2167</v>
      </c>
      <c r="B732" s="63" t="s">
        <v>14</v>
      </c>
      <c r="C732" s="63" t="s">
        <v>4171</v>
      </c>
      <c r="D732" s="63" t="s">
        <v>4172</v>
      </c>
      <c r="E732" s="63" t="s">
        <v>4173</v>
      </c>
      <c r="F732" s="63" t="s">
        <v>2598</v>
      </c>
      <c r="G732" s="63" t="s">
        <v>18</v>
      </c>
      <c r="H732" s="63" t="s">
        <v>18</v>
      </c>
      <c r="I732" s="63" t="s">
        <v>750</v>
      </c>
    </row>
    <row r="733" ht="11.25" customHeight="1">
      <c r="A733" s="63" t="s">
        <v>2167</v>
      </c>
      <c r="B733" s="63" t="s">
        <v>14</v>
      </c>
      <c r="C733" s="63" t="s">
        <v>2675</v>
      </c>
      <c r="D733" s="63" t="s">
        <v>2676</v>
      </c>
      <c r="E733" s="63" t="s">
        <v>2677</v>
      </c>
      <c r="F733" s="63" t="s">
        <v>2218</v>
      </c>
      <c r="G733" s="63" t="s">
        <v>2678</v>
      </c>
      <c r="H733" s="63" t="s">
        <v>18</v>
      </c>
      <c r="I733" s="63" t="s">
        <v>750</v>
      </c>
    </row>
    <row r="734" ht="11.25" customHeight="1">
      <c r="A734" s="63" t="s">
        <v>2167</v>
      </c>
      <c r="B734" s="63" t="s">
        <v>14</v>
      </c>
      <c r="C734" s="63" t="s">
        <v>4174</v>
      </c>
      <c r="D734" s="63" t="s">
        <v>4175</v>
      </c>
      <c r="E734" s="63" t="s">
        <v>4176</v>
      </c>
      <c r="F734" s="63" t="s">
        <v>2380</v>
      </c>
      <c r="G734" s="63" t="s">
        <v>4177</v>
      </c>
      <c r="H734" s="63" t="s">
        <v>18</v>
      </c>
      <c r="I734" s="63" t="s">
        <v>750</v>
      </c>
    </row>
    <row r="735" ht="11.25" customHeight="1">
      <c r="A735" s="63" t="s">
        <v>2167</v>
      </c>
      <c r="B735" s="63" t="s">
        <v>14</v>
      </c>
      <c r="C735" s="63" t="s">
        <v>4178</v>
      </c>
      <c r="D735" s="63" t="s">
        <v>4179</v>
      </c>
      <c r="E735" s="63" t="s">
        <v>4180</v>
      </c>
      <c r="F735" s="63" t="s">
        <v>2550</v>
      </c>
      <c r="G735" s="63" t="s">
        <v>4181</v>
      </c>
      <c r="H735" s="63" t="s">
        <v>18</v>
      </c>
      <c r="I735" s="63" t="s">
        <v>750</v>
      </c>
    </row>
    <row r="736" ht="11.25" customHeight="1">
      <c r="A736" s="63" t="s">
        <v>2167</v>
      </c>
      <c r="B736" s="63" t="s">
        <v>14</v>
      </c>
      <c r="C736" s="63" t="s">
        <v>4182</v>
      </c>
      <c r="D736" s="63" t="s">
        <v>4183</v>
      </c>
      <c r="E736" s="63" t="s">
        <v>4184</v>
      </c>
      <c r="F736" s="63" t="s">
        <v>2550</v>
      </c>
      <c r="G736" s="63" t="s">
        <v>4185</v>
      </c>
      <c r="H736" s="63" t="s">
        <v>18</v>
      </c>
      <c r="I736" s="63" t="s">
        <v>750</v>
      </c>
    </row>
    <row r="737" ht="11.25" customHeight="1">
      <c r="A737" s="63" t="s">
        <v>2167</v>
      </c>
      <c r="B737" s="63" t="s">
        <v>14</v>
      </c>
      <c r="C737" s="63" t="s">
        <v>2679</v>
      </c>
      <c r="D737" s="63" t="s">
        <v>2680</v>
      </c>
      <c r="E737" s="63" t="s">
        <v>2681</v>
      </c>
      <c r="F737" s="63" t="s">
        <v>2550</v>
      </c>
      <c r="G737" s="63" t="s">
        <v>2682</v>
      </c>
      <c r="H737" s="63" t="s">
        <v>18</v>
      </c>
      <c r="I737" s="63" t="s">
        <v>750</v>
      </c>
    </row>
    <row r="738" ht="11.25" customHeight="1">
      <c r="A738" s="63" t="s">
        <v>2167</v>
      </c>
      <c r="B738" s="63" t="s">
        <v>14</v>
      </c>
      <c r="C738" s="63" t="s">
        <v>2692</v>
      </c>
      <c r="D738" s="63" t="s">
        <v>2693</v>
      </c>
      <c r="E738" s="63" t="s">
        <v>2694</v>
      </c>
      <c r="F738" s="63" t="s">
        <v>2180</v>
      </c>
      <c r="G738" s="63" t="s">
        <v>18</v>
      </c>
      <c r="H738" s="63" t="s">
        <v>18</v>
      </c>
      <c r="I738" s="63" t="s">
        <v>750</v>
      </c>
    </row>
    <row r="739" ht="11.25" customHeight="1">
      <c r="A739" s="63" t="s">
        <v>2167</v>
      </c>
      <c r="B739" s="63" t="s">
        <v>14</v>
      </c>
      <c r="C739" s="63" t="s">
        <v>4186</v>
      </c>
      <c r="D739" s="63" t="s">
        <v>4187</v>
      </c>
      <c r="E739" s="63" t="s">
        <v>4188</v>
      </c>
      <c r="F739" s="63" t="s">
        <v>3080</v>
      </c>
      <c r="G739" s="63" t="s">
        <v>18</v>
      </c>
      <c r="H739" s="63" t="s">
        <v>18</v>
      </c>
      <c r="I739" s="63" t="s">
        <v>750</v>
      </c>
    </row>
    <row r="740" ht="11.25" customHeight="1">
      <c r="A740" s="63" t="s">
        <v>2167</v>
      </c>
      <c r="B740" s="63" t="s">
        <v>14</v>
      </c>
      <c r="C740" s="63" t="s">
        <v>4189</v>
      </c>
      <c r="D740" s="63" t="s">
        <v>4190</v>
      </c>
      <c r="E740" s="63" t="s">
        <v>4191</v>
      </c>
      <c r="F740" s="63" t="s">
        <v>2185</v>
      </c>
      <c r="G740" s="63" t="s">
        <v>18</v>
      </c>
      <c r="H740" s="63" t="s">
        <v>18</v>
      </c>
      <c r="I740" s="63" t="s">
        <v>750</v>
      </c>
    </row>
    <row r="741" ht="11.25" customHeight="1">
      <c r="A741" s="63" t="s">
        <v>2167</v>
      </c>
      <c r="B741" s="63" t="s">
        <v>14</v>
      </c>
      <c r="C741" s="63" t="s">
        <v>4192</v>
      </c>
      <c r="D741" s="63" t="s">
        <v>4193</v>
      </c>
      <c r="E741" s="63" t="s">
        <v>4194</v>
      </c>
      <c r="F741" s="63" t="s">
        <v>2380</v>
      </c>
      <c r="G741" s="63" t="s">
        <v>4195</v>
      </c>
      <c r="H741" s="63" t="s">
        <v>18</v>
      </c>
      <c r="I741" s="63" t="s">
        <v>750</v>
      </c>
    </row>
    <row r="742" ht="11.25" customHeight="1">
      <c r="A742" s="63" t="s">
        <v>2167</v>
      </c>
      <c r="B742" s="63" t="s">
        <v>14</v>
      </c>
      <c r="C742" s="63" t="s">
        <v>2716</v>
      </c>
      <c r="D742" s="63" t="s">
        <v>2717</v>
      </c>
      <c r="E742" s="63" t="s">
        <v>2718</v>
      </c>
      <c r="F742" s="63" t="s">
        <v>2469</v>
      </c>
      <c r="G742" s="63" t="s">
        <v>2719</v>
      </c>
      <c r="H742" s="63" t="s">
        <v>18</v>
      </c>
      <c r="I742" s="63" t="s">
        <v>750</v>
      </c>
    </row>
    <row r="743" ht="11.25" customHeight="1">
      <c r="A743" s="63" t="s">
        <v>2167</v>
      </c>
      <c r="B743" s="63" t="s">
        <v>14</v>
      </c>
      <c r="C743" s="63" t="s">
        <v>4196</v>
      </c>
      <c r="D743" s="63" t="s">
        <v>4197</v>
      </c>
      <c r="E743" s="63" t="s">
        <v>4198</v>
      </c>
      <c r="F743" s="63" t="s">
        <v>2185</v>
      </c>
      <c r="G743" s="63" t="s">
        <v>18</v>
      </c>
      <c r="H743" s="63" t="s">
        <v>18</v>
      </c>
      <c r="I743" s="63" t="s">
        <v>750</v>
      </c>
    </row>
    <row r="744" ht="11.25" customHeight="1">
      <c r="A744" s="63" t="s">
        <v>2167</v>
      </c>
      <c r="B744" s="63" t="s">
        <v>14</v>
      </c>
      <c r="C744" s="63" t="s">
        <v>4199</v>
      </c>
      <c r="D744" s="63" t="s">
        <v>4200</v>
      </c>
      <c r="E744" s="63" t="s">
        <v>4201</v>
      </c>
      <c r="F744" s="63" t="s">
        <v>2185</v>
      </c>
      <c r="G744" s="63" t="s">
        <v>18</v>
      </c>
      <c r="H744" s="63" t="s">
        <v>18</v>
      </c>
      <c r="I744" s="63" t="s">
        <v>750</v>
      </c>
    </row>
    <row r="745" ht="11.25" customHeight="1">
      <c r="A745" s="63" t="s">
        <v>2167</v>
      </c>
      <c r="B745" s="63" t="s">
        <v>14</v>
      </c>
      <c r="C745" s="63" t="s">
        <v>2735</v>
      </c>
      <c r="D745" s="63" t="s">
        <v>2736</v>
      </c>
      <c r="E745" s="63" t="s">
        <v>2737</v>
      </c>
      <c r="F745" s="63" t="s">
        <v>2210</v>
      </c>
      <c r="G745" s="63" t="s">
        <v>2738</v>
      </c>
      <c r="H745" s="63" t="s">
        <v>18</v>
      </c>
      <c r="I745" s="63" t="s">
        <v>750</v>
      </c>
    </row>
    <row r="746" ht="11.25" customHeight="1">
      <c r="A746" s="63" t="s">
        <v>2167</v>
      </c>
      <c r="B746" s="63" t="s">
        <v>14</v>
      </c>
      <c r="C746" s="63" t="s">
        <v>2745</v>
      </c>
      <c r="D746" s="63" t="s">
        <v>2746</v>
      </c>
      <c r="E746" s="63" t="s">
        <v>2747</v>
      </c>
      <c r="F746" s="63" t="s">
        <v>2550</v>
      </c>
      <c r="G746" s="63" t="s">
        <v>2748</v>
      </c>
      <c r="H746" s="63" t="s">
        <v>18</v>
      </c>
      <c r="I746" s="63" t="s">
        <v>750</v>
      </c>
    </row>
    <row r="747" ht="11.25" customHeight="1">
      <c r="A747" s="63" t="s">
        <v>2167</v>
      </c>
      <c r="B747" s="63" t="s">
        <v>14</v>
      </c>
      <c r="C747" s="63" t="s">
        <v>4202</v>
      </c>
      <c r="D747" s="63" t="s">
        <v>4203</v>
      </c>
      <c r="E747" s="63" t="s">
        <v>4204</v>
      </c>
      <c r="F747" s="63" t="s">
        <v>2759</v>
      </c>
      <c r="G747" s="63" t="s">
        <v>4205</v>
      </c>
      <c r="H747" s="63" t="s">
        <v>18</v>
      </c>
      <c r="I747" s="63" t="s">
        <v>750</v>
      </c>
    </row>
    <row r="748" ht="11.25" customHeight="1">
      <c r="A748" s="63" t="s">
        <v>2167</v>
      </c>
      <c r="B748" s="63" t="s">
        <v>14</v>
      </c>
      <c r="C748" s="63" t="s">
        <v>4206</v>
      </c>
      <c r="D748" s="63" t="s">
        <v>4207</v>
      </c>
      <c r="E748" s="63" t="s">
        <v>4208</v>
      </c>
      <c r="F748" s="63" t="s">
        <v>3845</v>
      </c>
      <c r="G748" s="63" t="s">
        <v>18</v>
      </c>
      <c r="H748" s="63" t="s">
        <v>18</v>
      </c>
      <c r="I748" s="63" t="s">
        <v>750</v>
      </c>
    </row>
    <row r="749" ht="11.25" customHeight="1">
      <c r="A749" s="63" t="s">
        <v>2167</v>
      </c>
      <c r="B749" s="63" t="s">
        <v>14</v>
      </c>
      <c r="C749" s="63" t="s">
        <v>4209</v>
      </c>
      <c r="D749" s="63" t="s">
        <v>4210</v>
      </c>
      <c r="E749" s="63" t="s">
        <v>4211</v>
      </c>
      <c r="F749" s="63" t="s">
        <v>2557</v>
      </c>
      <c r="G749" s="63" t="s">
        <v>4212</v>
      </c>
      <c r="H749" s="63" t="s">
        <v>18</v>
      </c>
      <c r="I749" s="63" t="s">
        <v>750</v>
      </c>
    </row>
    <row r="750" ht="11.25" customHeight="1">
      <c r="A750" s="63" t="s">
        <v>2167</v>
      </c>
      <c r="B750" s="63" t="s">
        <v>14</v>
      </c>
      <c r="C750" s="63" t="s">
        <v>4213</v>
      </c>
      <c r="D750" s="63" t="s">
        <v>4214</v>
      </c>
      <c r="E750" s="63" t="s">
        <v>4215</v>
      </c>
      <c r="F750" s="63" t="s">
        <v>3682</v>
      </c>
      <c r="G750" s="63" t="s">
        <v>4216</v>
      </c>
      <c r="H750" s="63" t="s">
        <v>18</v>
      </c>
      <c r="I750" s="63" t="s">
        <v>750</v>
      </c>
    </row>
    <row r="751" ht="11.25" customHeight="1">
      <c r="A751" s="63" t="s">
        <v>2167</v>
      </c>
      <c r="B751" s="63" t="s">
        <v>14</v>
      </c>
      <c r="C751" s="63" t="s">
        <v>4217</v>
      </c>
      <c r="D751" s="63" t="s">
        <v>4218</v>
      </c>
      <c r="E751" s="63" t="s">
        <v>4219</v>
      </c>
      <c r="F751" s="63" t="s">
        <v>2171</v>
      </c>
      <c r="G751" s="63" t="s">
        <v>4220</v>
      </c>
      <c r="H751" s="63" t="s">
        <v>18</v>
      </c>
      <c r="I751" s="63" t="s">
        <v>750</v>
      </c>
    </row>
    <row r="752" ht="11.25" customHeight="1">
      <c r="A752" s="63" t="s">
        <v>2167</v>
      </c>
      <c r="B752" s="63" t="s">
        <v>14</v>
      </c>
      <c r="C752" s="63" t="s">
        <v>4221</v>
      </c>
      <c r="D752" s="63" t="s">
        <v>4222</v>
      </c>
      <c r="E752" s="63" t="s">
        <v>4223</v>
      </c>
      <c r="F752" s="63" t="s">
        <v>2421</v>
      </c>
      <c r="G752" s="63" t="s">
        <v>3691</v>
      </c>
      <c r="H752" s="63" t="s">
        <v>18</v>
      </c>
      <c r="I752" s="63" t="s">
        <v>750</v>
      </c>
    </row>
    <row r="753" ht="11.25" customHeight="1">
      <c r="A753" s="63" t="s">
        <v>2167</v>
      </c>
      <c r="B753" s="63" t="s">
        <v>14</v>
      </c>
      <c r="C753" s="63" t="s">
        <v>2779</v>
      </c>
      <c r="D753" s="63" t="s">
        <v>2780</v>
      </c>
      <c r="E753" s="63" t="s">
        <v>2781</v>
      </c>
      <c r="F753" s="63" t="s">
        <v>2557</v>
      </c>
      <c r="G753" s="63" t="s">
        <v>2782</v>
      </c>
      <c r="H753" s="63" t="s">
        <v>18</v>
      </c>
      <c r="I753" s="63" t="s">
        <v>750</v>
      </c>
    </row>
    <row r="754" ht="11.25" customHeight="1">
      <c r="A754" s="63" t="s">
        <v>2167</v>
      </c>
      <c r="B754" s="63" t="s">
        <v>14</v>
      </c>
      <c r="C754" s="63" t="s">
        <v>4224</v>
      </c>
      <c r="D754" s="63" t="s">
        <v>4225</v>
      </c>
      <c r="E754" s="63" t="s">
        <v>4226</v>
      </c>
      <c r="F754" s="63" t="s">
        <v>2370</v>
      </c>
      <c r="G754" s="63" t="s">
        <v>18</v>
      </c>
      <c r="H754" s="63" t="s">
        <v>18</v>
      </c>
      <c r="I754" s="63" t="s">
        <v>750</v>
      </c>
    </row>
    <row r="755" ht="11.25" customHeight="1">
      <c r="A755" s="63" t="s">
        <v>2167</v>
      </c>
      <c r="B755" s="63" t="s">
        <v>14</v>
      </c>
      <c r="C755" s="63" t="s">
        <v>4227</v>
      </c>
      <c r="D755" s="63" t="s">
        <v>4228</v>
      </c>
      <c r="E755" s="63" t="s">
        <v>4229</v>
      </c>
      <c r="F755" s="63" t="s">
        <v>2176</v>
      </c>
      <c r="G755" s="63" t="s">
        <v>4230</v>
      </c>
      <c r="H755" s="63" t="s">
        <v>18</v>
      </c>
      <c r="I755" s="63" t="s">
        <v>750</v>
      </c>
    </row>
    <row r="756" ht="11.25" customHeight="1">
      <c r="A756" s="63" t="s">
        <v>2167</v>
      </c>
      <c r="B756" s="63" t="s">
        <v>14</v>
      </c>
      <c r="C756" s="63" t="s">
        <v>4231</v>
      </c>
      <c r="D756" s="63" t="s">
        <v>4232</v>
      </c>
      <c r="E756" s="63" t="s">
        <v>4233</v>
      </c>
      <c r="F756" s="63" t="s">
        <v>2218</v>
      </c>
      <c r="G756" s="63" t="s">
        <v>4234</v>
      </c>
      <c r="H756" s="63" t="s">
        <v>18</v>
      </c>
      <c r="I756" s="63" t="s">
        <v>750</v>
      </c>
    </row>
    <row r="757" ht="11.25" customHeight="1">
      <c r="A757" s="63" t="s">
        <v>2167</v>
      </c>
      <c r="B757" s="63" t="s">
        <v>14</v>
      </c>
      <c r="C757" s="63" t="s">
        <v>4235</v>
      </c>
      <c r="D757" s="63" t="s">
        <v>4236</v>
      </c>
      <c r="E757" s="63" t="s">
        <v>4237</v>
      </c>
      <c r="F757" s="63" t="s">
        <v>2218</v>
      </c>
      <c r="G757" s="63" t="s">
        <v>4234</v>
      </c>
      <c r="H757" s="63" t="s">
        <v>18</v>
      </c>
      <c r="I757" s="63" t="s">
        <v>750</v>
      </c>
    </row>
    <row r="758" ht="11.25" customHeight="1">
      <c r="A758" s="63" t="s">
        <v>2167</v>
      </c>
      <c r="B758" s="63" t="s">
        <v>14</v>
      </c>
      <c r="C758" s="63" t="s">
        <v>4238</v>
      </c>
      <c r="D758" s="63" t="s">
        <v>4239</v>
      </c>
      <c r="E758" s="63" t="s">
        <v>4240</v>
      </c>
      <c r="F758" s="63" t="s">
        <v>2218</v>
      </c>
      <c r="G758" s="63" t="s">
        <v>4241</v>
      </c>
      <c r="H758" s="63" t="s">
        <v>18</v>
      </c>
      <c r="I758" s="63" t="s">
        <v>750</v>
      </c>
    </row>
    <row r="759" ht="11.25" customHeight="1">
      <c r="A759" s="63" t="s">
        <v>2167</v>
      </c>
      <c r="B759" s="63" t="s">
        <v>14</v>
      </c>
      <c r="C759" s="63" t="s">
        <v>4242</v>
      </c>
      <c r="D759" s="63" t="s">
        <v>4243</v>
      </c>
      <c r="E759" s="63" t="s">
        <v>4244</v>
      </c>
      <c r="F759" s="63" t="s">
        <v>2218</v>
      </c>
      <c r="G759" s="63" t="s">
        <v>4245</v>
      </c>
      <c r="H759" s="63" t="s">
        <v>18</v>
      </c>
      <c r="I759" s="63" t="s">
        <v>750</v>
      </c>
    </row>
    <row r="760" ht="11.25" customHeight="1">
      <c r="A760" s="63" t="s">
        <v>2167</v>
      </c>
      <c r="B760" s="63" t="s">
        <v>14</v>
      </c>
      <c r="C760" s="63" t="s">
        <v>4246</v>
      </c>
      <c r="D760" s="63" t="s">
        <v>4247</v>
      </c>
      <c r="E760" s="63" t="s">
        <v>4248</v>
      </c>
      <c r="F760" s="63" t="s">
        <v>2249</v>
      </c>
      <c r="G760" s="63" t="s">
        <v>4249</v>
      </c>
      <c r="H760" s="63" t="s">
        <v>18</v>
      </c>
      <c r="I760" s="63" t="s">
        <v>750</v>
      </c>
    </row>
    <row r="761" ht="11.25" customHeight="1">
      <c r="A761" s="63" t="s">
        <v>2167</v>
      </c>
      <c r="B761" s="63" t="s">
        <v>14</v>
      </c>
      <c r="C761" s="63" t="s">
        <v>4250</v>
      </c>
      <c r="D761" s="63" t="s">
        <v>4251</v>
      </c>
      <c r="E761" s="63" t="s">
        <v>4252</v>
      </c>
      <c r="F761" s="63" t="s">
        <v>3055</v>
      </c>
      <c r="G761" s="63" t="s">
        <v>18</v>
      </c>
      <c r="H761" s="63" t="s">
        <v>18</v>
      </c>
      <c r="I761" s="63" t="s">
        <v>750</v>
      </c>
    </row>
    <row r="762" ht="11.25" customHeight="1">
      <c r="A762" s="63" t="s">
        <v>2167</v>
      </c>
      <c r="B762" s="63" t="s">
        <v>14</v>
      </c>
      <c r="C762" s="63" t="s">
        <v>4253</v>
      </c>
      <c r="D762" s="63" t="s">
        <v>4254</v>
      </c>
      <c r="E762" s="63" t="s">
        <v>4255</v>
      </c>
      <c r="F762" s="63" t="s">
        <v>3096</v>
      </c>
      <c r="G762" s="63" t="s">
        <v>4256</v>
      </c>
      <c r="H762" s="63" t="s">
        <v>18</v>
      </c>
      <c r="I762" s="63" t="s">
        <v>750</v>
      </c>
    </row>
    <row r="763" ht="11.25" customHeight="1">
      <c r="A763" s="63" t="s">
        <v>2167</v>
      </c>
      <c r="B763" s="63" t="s">
        <v>14</v>
      </c>
      <c r="C763" s="63" t="s">
        <v>4257</v>
      </c>
      <c r="D763" s="63" t="s">
        <v>4258</v>
      </c>
      <c r="E763" s="63" t="s">
        <v>4259</v>
      </c>
      <c r="F763" s="63" t="s">
        <v>2218</v>
      </c>
      <c r="G763" s="63" t="s">
        <v>4260</v>
      </c>
      <c r="H763" s="63" t="s">
        <v>18</v>
      </c>
      <c r="I763" s="63" t="s">
        <v>750</v>
      </c>
    </row>
    <row r="764" ht="11.25" customHeight="1">
      <c r="A764" s="63" t="s">
        <v>2167</v>
      </c>
      <c r="B764" s="63" t="s">
        <v>14</v>
      </c>
      <c r="C764" s="63" t="s">
        <v>4261</v>
      </c>
      <c r="D764" s="63" t="s">
        <v>4258</v>
      </c>
      <c r="E764" s="63" t="s">
        <v>4262</v>
      </c>
      <c r="F764" s="63" t="s">
        <v>3080</v>
      </c>
      <c r="G764" s="63" t="s">
        <v>18</v>
      </c>
      <c r="H764" s="63" t="s">
        <v>18</v>
      </c>
      <c r="I764" s="63" t="s">
        <v>750</v>
      </c>
    </row>
    <row r="765" ht="11.25" customHeight="1">
      <c r="A765" s="63" t="s">
        <v>2167</v>
      </c>
      <c r="B765" s="63" t="s">
        <v>14</v>
      </c>
      <c r="C765" s="63" t="s">
        <v>4263</v>
      </c>
      <c r="D765" s="63" t="s">
        <v>4258</v>
      </c>
      <c r="E765" s="63" t="s">
        <v>4264</v>
      </c>
      <c r="F765" s="63" t="s">
        <v>2522</v>
      </c>
      <c r="G765" s="63" t="s">
        <v>4265</v>
      </c>
      <c r="H765" s="63" t="s">
        <v>18</v>
      </c>
      <c r="I765" s="63" t="s">
        <v>750</v>
      </c>
    </row>
    <row r="766" ht="11.25" customHeight="1">
      <c r="A766" s="63" t="s">
        <v>2167</v>
      </c>
      <c r="B766" s="63" t="s">
        <v>14</v>
      </c>
      <c r="C766" s="63" t="s">
        <v>4266</v>
      </c>
      <c r="D766" s="63" t="s">
        <v>4267</v>
      </c>
      <c r="E766" s="63" t="s">
        <v>4268</v>
      </c>
      <c r="F766" s="63" t="s">
        <v>2218</v>
      </c>
      <c r="G766" s="63" t="s">
        <v>4269</v>
      </c>
      <c r="H766" s="63" t="s">
        <v>18</v>
      </c>
      <c r="I766" s="63" t="s">
        <v>750</v>
      </c>
    </row>
    <row r="767" ht="11.25" customHeight="1">
      <c r="A767" s="63" t="s">
        <v>2167</v>
      </c>
      <c r="B767" s="63" t="s">
        <v>14</v>
      </c>
      <c r="C767" s="63" t="s">
        <v>4270</v>
      </c>
      <c r="D767" s="63" t="s">
        <v>4271</v>
      </c>
      <c r="E767" s="63" t="s">
        <v>4272</v>
      </c>
      <c r="F767" s="63" t="s">
        <v>3845</v>
      </c>
      <c r="G767" s="63" t="s">
        <v>4273</v>
      </c>
      <c r="H767" s="63" t="s">
        <v>18</v>
      </c>
      <c r="I767" s="63" t="s">
        <v>750</v>
      </c>
    </row>
    <row r="768" ht="11.25" customHeight="1">
      <c r="A768" s="63" t="s">
        <v>2167</v>
      </c>
      <c r="B768" s="63" t="s">
        <v>14</v>
      </c>
      <c r="C768" s="63" t="s">
        <v>4274</v>
      </c>
      <c r="D768" s="63" t="s">
        <v>4275</v>
      </c>
      <c r="E768" s="63" t="s">
        <v>4276</v>
      </c>
      <c r="F768" s="63" t="s">
        <v>3845</v>
      </c>
      <c r="G768" s="63" t="s">
        <v>18</v>
      </c>
      <c r="H768" s="63" t="s">
        <v>18</v>
      </c>
      <c r="I768" s="63" t="s">
        <v>750</v>
      </c>
    </row>
    <row r="769" ht="11.25" customHeight="1">
      <c r="A769" s="63" t="s">
        <v>2167</v>
      </c>
      <c r="B769" s="63" t="s">
        <v>14</v>
      </c>
      <c r="C769" s="63" t="s">
        <v>4277</v>
      </c>
      <c r="D769" s="63" t="s">
        <v>4278</v>
      </c>
      <c r="E769" s="63" t="s">
        <v>4279</v>
      </c>
      <c r="F769" s="63" t="s">
        <v>2759</v>
      </c>
      <c r="G769" s="63" t="s">
        <v>4280</v>
      </c>
      <c r="H769" s="63" t="s">
        <v>18</v>
      </c>
      <c r="I769" s="63" t="s">
        <v>750</v>
      </c>
    </row>
    <row r="770" ht="11.25" customHeight="1">
      <c r="A770" s="63" t="s">
        <v>2167</v>
      </c>
      <c r="B770" s="63" t="s">
        <v>14</v>
      </c>
      <c r="C770" s="63" t="s">
        <v>4281</v>
      </c>
      <c r="D770" s="63" t="s">
        <v>4282</v>
      </c>
      <c r="E770" s="63" t="s">
        <v>4283</v>
      </c>
      <c r="F770" s="63" t="s">
        <v>2577</v>
      </c>
      <c r="G770" s="63" t="s">
        <v>4284</v>
      </c>
      <c r="H770" s="63" t="s">
        <v>18</v>
      </c>
      <c r="I770" s="63" t="s">
        <v>750</v>
      </c>
    </row>
    <row r="771" ht="11.25" customHeight="1">
      <c r="A771" s="63" t="s">
        <v>2167</v>
      </c>
      <c r="B771" s="63" t="s">
        <v>14</v>
      </c>
      <c r="C771" s="63" t="s">
        <v>4285</v>
      </c>
      <c r="D771" s="63" t="s">
        <v>4286</v>
      </c>
      <c r="E771" s="63" t="s">
        <v>4287</v>
      </c>
      <c r="F771" s="63" t="s">
        <v>3274</v>
      </c>
      <c r="G771" s="63" t="s">
        <v>18</v>
      </c>
      <c r="H771" s="63" t="s">
        <v>18</v>
      </c>
      <c r="I771" s="63" t="s">
        <v>750</v>
      </c>
    </row>
    <row r="772" ht="11.25" customHeight="1">
      <c r="A772" s="63" t="s">
        <v>2167</v>
      </c>
      <c r="B772" s="63" t="s">
        <v>14</v>
      </c>
      <c r="C772" s="63" t="s">
        <v>4288</v>
      </c>
      <c r="D772" s="63" t="s">
        <v>4289</v>
      </c>
      <c r="E772" s="63" t="s">
        <v>4290</v>
      </c>
      <c r="F772" s="63" t="s">
        <v>4291</v>
      </c>
      <c r="G772" s="63" t="s">
        <v>18</v>
      </c>
      <c r="H772" s="63" t="s">
        <v>18</v>
      </c>
      <c r="I772" s="63" t="s">
        <v>750</v>
      </c>
    </row>
    <row r="773" ht="11.25" customHeight="1">
      <c r="A773" s="63" t="s">
        <v>2167</v>
      </c>
      <c r="B773" s="63" t="s">
        <v>14</v>
      </c>
      <c r="C773" s="63" t="s">
        <v>4292</v>
      </c>
      <c r="D773" s="63" t="s">
        <v>4293</v>
      </c>
      <c r="E773" s="63" t="s">
        <v>4294</v>
      </c>
      <c r="F773" s="63" t="s">
        <v>4295</v>
      </c>
      <c r="G773" s="63" t="s">
        <v>4296</v>
      </c>
      <c r="H773" s="63" t="s">
        <v>18</v>
      </c>
      <c r="I773" s="63" t="s">
        <v>750</v>
      </c>
    </row>
    <row r="774" ht="11.25" customHeight="1">
      <c r="A774" s="63" t="s">
        <v>2167</v>
      </c>
      <c r="B774" s="63" t="s">
        <v>14</v>
      </c>
      <c r="C774" s="63" t="s">
        <v>4297</v>
      </c>
      <c r="D774" s="63" t="s">
        <v>4298</v>
      </c>
      <c r="E774" s="63" t="s">
        <v>4299</v>
      </c>
      <c r="F774" s="63" t="s">
        <v>2502</v>
      </c>
      <c r="G774" s="63" t="s">
        <v>18</v>
      </c>
      <c r="H774" s="63" t="s">
        <v>4300</v>
      </c>
      <c r="I774" s="63" t="s">
        <v>750</v>
      </c>
    </row>
    <row r="775" ht="11.25" customHeight="1">
      <c r="A775" s="63" t="s">
        <v>2167</v>
      </c>
      <c r="B775" s="63" t="s">
        <v>14</v>
      </c>
      <c r="C775" s="63" t="s">
        <v>4301</v>
      </c>
      <c r="D775" s="63" t="s">
        <v>4302</v>
      </c>
      <c r="E775" s="63" t="s">
        <v>4303</v>
      </c>
      <c r="F775" s="63" t="s">
        <v>2465</v>
      </c>
      <c r="G775" s="63" t="s">
        <v>4304</v>
      </c>
      <c r="H775" s="63" t="s">
        <v>18</v>
      </c>
      <c r="I775" s="63" t="s">
        <v>750</v>
      </c>
    </row>
    <row r="776" ht="11.25" customHeight="1">
      <c r="A776" s="63" t="s">
        <v>2167</v>
      </c>
      <c r="B776" s="63" t="s">
        <v>14</v>
      </c>
      <c r="C776" s="63" t="s">
        <v>4305</v>
      </c>
      <c r="D776" s="63" t="s">
        <v>4306</v>
      </c>
      <c r="E776" s="63" t="s">
        <v>4307</v>
      </c>
      <c r="F776" s="63" t="s">
        <v>2222</v>
      </c>
      <c r="G776" s="63" t="s">
        <v>4308</v>
      </c>
      <c r="H776" s="63" t="s">
        <v>18</v>
      </c>
      <c r="I776" s="63" t="s">
        <v>750</v>
      </c>
    </row>
    <row r="777" ht="11.25" customHeight="1">
      <c r="A777" s="63" t="s">
        <v>2167</v>
      </c>
      <c r="B777" s="63" t="s">
        <v>14</v>
      </c>
      <c r="C777" s="63" t="s">
        <v>4309</v>
      </c>
      <c r="D777" s="63" t="s">
        <v>4310</v>
      </c>
      <c r="E777" s="63" t="s">
        <v>4311</v>
      </c>
      <c r="F777" s="63" t="s">
        <v>3055</v>
      </c>
      <c r="G777" s="63" t="s">
        <v>18</v>
      </c>
      <c r="H777" s="63" t="s">
        <v>18</v>
      </c>
      <c r="I777" s="63" t="s">
        <v>750</v>
      </c>
    </row>
    <row r="778" ht="11.25" customHeight="1">
      <c r="A778" s="63" t="s">
        <v>2167</v>
      </c>
      <c r="B778" s="63" t="s">
        <v>14</v>
      </c>
      <c r="C778" s="63" t="s">
        <v>4312</v>
      </c>
      <c r="D778" s="63" t="s">
        <v>4313</v>
      </c>
      <c r="E778" s="63" t="s">
        <v>4314</v>
      </c>
      <c r="F778" s="63" t="s">
        <v>2626</v>
      </c>
      <c r="G778" s="63" t="s">
        <v>18</v>
      </c>
      <c r="H778" s="63" t="s">
        <v>18</v>
      </c>
      <c r="I778" s="63" t="s">
        <v>750</v>
      </c>
    </row>
    <row r="779" ht="11.25" customHeight="1">
      <c r="A779" s="63" t="s">
        <v>2167</v>
      </c>
      <c r="B779" s="63" t="s">
        <v>14</v>
      </c>
      <c r="C779" s="63" t="s">
        <v>4315</v>
      </c>
      <c r="D779" s="63" t="s">
        <v>4316</v>
      </c>
      <c r="E779" s="63" t="s">
        <v>4317</v>
      </c>
      <c r="F779" s="63" t="s">
        <v>2602</v>
      </c>
      <c r="G779" s="63" t="s">
        <v>4318</v>
      </c>
      <c r="H779" s="63" t="s">
        <v>18</v>
      </c>
      <c r="I779" s="63" t="s">
        <v>750</v>
      </c>
    </row>
    <row r="780" ht="11.25" customHeight="1">
      <c r="A780" s="63" t="s">
        <v>2167</v>
      </c>
      <c r="B780" s="63" t="s">
        <v>14</v>
      </c>
      <c r="C780" s="63" t="s">
        <v>4319</v>
      </c>
      <c r="D780" s="63" t="s">
        <v>4320</v>
      </c>
      <c r="E780" s="63" t="s">
        <v>4321</v>
      </c>
      <c r="F780" s="63" t="s">
        <v>2245</v>
      </c>
      <c r="G780" s="63" t="s">
        <v>4322</v>
      </c>
      <c r="H780" s="63" t="s">
        <v>18</v>
      </c>
      <c r="I780" s="63" t="s">
        <v>750</v>
      </c>
    </row>
    <row r="781" ht="11.25" customHeight="1">
      <c r="A781" s="63" t="s">
        <v>2167</v>
      </c>
      <c r="B781" s="63" t="s">
        <v>14</v>
      </c>
      <c r="C781" s="63" t="s">
        <v>4323</v>
      </c>
      <c r="D781" s="63" t="s">
        <v>4324</v>
      </c>
      <c r="E781" s="63" t="s">
        <v>4325</v>
      </c>
      <c r="F781" s="63" t="s">
        <v>2602</v>
      </c>
      <c r="G781" s="63" t="s">
        <v>4318</v>
      </c>
      <c r="H781" s="63" t="s">
        <v>18</v>
      </c>
      <c r="I781" s="63" t="s">
        <v>750</v>
      </c>
    </row>
    <row r="782" ht="11.25" customHeight="1">
      <c r="A782" s="63" t="s">
        <v>2167</v>
      </c>
      <c r="B782" s="63" t="s">
        <v>14</v>
      </c>
      <c r="C782" s="63" t="s">
        <v>4326</v>
      </c>
      <c r="D782" s="63" t="s">
        <v>4327</v>
      </c>
      <c r="E782" s="63" t="s">
        <v>4328</v>
      </c>
      <c r="F782" s="63" t="s">
        <v>2607</v>
      </c>
      <c r="G782" s="63" t="s">
        <v>18</v>
      </c>
      <c r="H782" s="63" t="s">
        <v>18</v>
      </c>
      <c r="I782" s="63" t="s">
        <v>750</v>
      </c>
    </row>
    <row r="783" ht="11.25" customHeight="1">
      <c r="A783" s="63" t="s">
        <v>2167</v>
      </c>
      <c r="B783" s="63" t="s">
        <v>14</v>
      </c>
      <c r="C783" s="63" t="s">
        <v>4329</v>
      </c>
      <c r="D783" s="63" t="s">
        <v>4330</v>
      </c>
      <c r="E783" s="63" t="s">
        <v>4331</v>
      </c>
      <c r="F783" s="63" t="s">
        <v>2210</v>
      </c>
      <c r="G783" s="63" t="s">
        <v>18</v>
      </c>
      <c r="H783" s="63" t="s">
        <v>18</v>
      </c>
      <c r="I783" s="63" t="s">
        <v>750</v>
      </c>
    </row>
    <row r="784" ht="11.25" customHeight="1">
      <c r="A784" s="63" t="s">
        <v>2167</v>
      </c>
      <c r="B784" s="63" t="s">
        <v>14</v>
      </c>
      <c r="C784" s="63" t="s">
        <v>4332</v>
      </c>
      <c r="D784" s="63" t="s">
        <v>4333</v>
      </c>
      <c r="E784" s="63" t="s">
        <v>4334</v>
      </c>
      <c r="F784" s="63" t="s">
        <v>2218</v>
      </c>
      <c r="G784" s="63" t="s">
        <v>4335</v>
      </c>
      <c r="H784" s="63" t="s">
        <v>18</v>
      </c>
      <c r="I784" s="63" t="s">
        <v>750</v>
      </c>
    </row>
    <row r="785" ht="11.25" customHeight="1">
      <c r="A785" s="63" t="s">
        <v>2167</v>
      </c>
      <c r="B785" s="63" t="s">
        <v>14</v>
      </c>
      <c r="C785" s="63" t="s">
        <v>4336</v>
      </c>
      <c r="D785" s="63" t="s">
        <v>4337</v>
      </c>
      <c r="E785" s="63" t="s">
        <v>4338</v>
      </c>
      <c r="F785" s="63" t="s">
        <v>2218</v>
      </c>
      <c r="G785" s="63" t="s">
        <v>18</v>
      </c>
      <c r="H785" s="63" t="s">
        <v>18</v>
      </c>
      <c r="I785" s="63" t="s">
        <v>750</v>
      </c>
    </row>
    <row r="786" ht="11.25" customHeight="1">
      <c r="A786" s="63" t="s">
        <v>2167</v>
      </c>
      <c r="B786" s="63" t="s">
        <v>14</v>
      </c>
      <c r="C786" s="63" t="s">
        <v>4339</v>
      </c>
      <c r="D786" s="63" t="s">
        <v>4340</v>
      </c>
      <c r="E786" s="63" t="s">
        <v>4341</v>
      </c>
      <c r="F786" s="63" t="s">
        <v>2218</v>
      </c>
      <c r="G786" s="63" t="s">
        <v>4342</v>
      </c>
      <c r="H786" s="63" t="s">
        <v>18</v>
      </c>
      <c r="I786" s="63" t="s">
        <v>750</v>
      </c>
    </row>
    <row r="787" ht="11.25" customHeight="1">
      <c r="A787" s="63" t="s">
        <v>2167</v>
      </c>
      <c r="B787" s="63" t="s">
        <v>14</v>
      </c>
      <c r="C787" s="63" t="s">
        <v>4343</v>
      </c>
      <c r="D787" s="63" t="s">
        <v>4344</v>
      </c>
      <c r="E787" s="63" t="s">
        <v>4338</v>
      </c>
      <c r="F787" s="63" t="s">
        <v>2222</v>
      </c>
      <c r="G787" s="63" t="s">
        <v>4345</v>
      </c>
      <c r="H787" s="63" t="s">
        <v>18</v>
      </c>
      <c r="I787" s="63" t="s">
        <v>750</v>
      </c>
    </row>
    <row r="788" ht="11.25" customHeight="1">
      <c r="A788" s="63" t="s">
        <v>2167</v>
      </c>
      <c r="B788" s="63" t="s">
        <v>14</v>
      </c>
      <c r="C788" s="63" t="s">
        <v>4346</v>
      </c>
      <c r="D788" s="63" t="s">
        <v>4347</v>
      </c>
      <c r="E788" s="63" t="s">
        <v>4348</v>
      </c>
      <c r="F788" s="63" t="s">
        <v>2759</v>
      </c>
      <c r="G788" s="63" t="s">
        <v>4349</v>
      </c>
      <c r="H788" s="63" t="s">
        <v>18</v>
      </c>
      <c r="I788" s="63" t="s">
        <v>750</v>
      </c>
    </row>
    <row r="789" ht="11.25" customHeight="1">
      <c r="A789" s="63" t="s">
        <v>2167</v>
      </c>
      <c r="B789" s="63" t="s">
        <v>14</v>
      </c>
      <c r="C789" s="63" t="s">
        <v>4350</v>
      </c>
      <c r="D789" s="63" t="s">
        <v>4347</v>
      </c>
      <c r="E789" s="63" t="s">
        <v>4351</v>
      </c>
      <c r="F789" s="63" t="s">
        <v>2522</v>
      </c>
      <c r="G789" s="63" t="s">
        <v>18</v>
      </c>
      <c r="H789" s="63" t="s">
        <v>18</v>
      </c>
      <c r="I789" s="63" t="s">
        <v>750</v>
      </c>
    </row>
    <row r="790" ht="11.25" customHeight="1">
      <c r="A790" s="63" t="s">
        <v>2167</v>
      </c>
      <c r="B790" s="63" t="s">
        <v>14</v>
      </c>
      <c r="C790" s="63" t="s">
        <v>4352</v>
      </c>
      <c r="D790" s="63" t="s">
        <v>4353</v>
      </c>
      <c r="E790" s="63" t="s">
        <v>4354</v>
      </c>
      <c r="F790" s="63" t="s">
        <v>2413</v>
      </c>
      <c r="G790" s="63" t="s">
        <v>4355</v>
      </c>
      <c r="H790" s="63" t="s">
        <v>18</v>
      </c>
      <c r="I790" s="63" t="s">
        <v>750</v>
      </c>
    </row>
    <row r="791" ht="11.25" customHeight="1">
      <c r="A791" s="63" t="s">
        <v>2167</v>
      </c>
      <c r="B791" s="63" t="s">
        <v>14</v>
      </c>
      <c r="C791" s="63" t="s">
        <v>4356</v>
      </c>
      <c r="D791" s="63" t="s">
        <v>4353</v>
      </c>
      <c r="E791" s="63" t="s">
        <v>4357</v>
      </c>
      <c r="F791" s="63" t="s">
        <v>2626</v>
      </c>
      <c r="G791" s="63" t="s">
        <v>4358</v>
      </c>
      <c r="H791" s="63" t="s">
        <v>18</v>
      </c>
      <c r="I791" s="63" t="s">
        <v>750</v>
      </c>
    </row>
    <row r="792" ht="11.25" customHeight="1">
      <c r="A792" s="63" t="s">
        <v>2167</v>
      </c>
      <c r="B792" s="63" t="s">
        <v>14</v>
      </c>
      <c r="C792" s="63" t="s">
        <v>4359</v>
      </c>
      <c r="D792" s="63" t="s">
        <v>4360</v>
      </c>
      <c r="E792" s="63" t="s">
        <v>4361</v>
      </c>
      <c r="F792" s="63" t="s">
        <v>2185</v>
      </c>
      <c r="G792" s="63" t="s">
        <v>18</v>
      </c>
      <c r="H792" s="63" t="s">
        <v>18</v>
      </c>
      <c r="I792" s="63" t="s">
        <v>750</v>
      </c>
    </row>
    <row r="793" ht="11.25" customHeight="1">
      <c r="A793" s="63" t="s">
        <v>2167</v>
      </c>
      <c r="B793" s="63" t="s">
        <v>14</v>
      </c>
      <c r="C793" s="63" t="s">
        <v>4362</v>
      </c>
      <c r="D793" s="63" t="s">
        <v>4363</v>
      </c>
      <c r="E793" s="63" t="s">
        <v>4364</v>
      </c>
      <c r="F793" s="63" t="s">
        <v>2598</v>
      </c>
      <c r="G793" s="63" t="s">
        <v>4365</v>
      </c>
      <c r="H793" s="63" t="s">
        <v>18</v>
      </c>
      <c r="I793" s="63" t="s">
        <v>750</v>
      </c>
    </row>
    <row r="794" ht="11.25" customHeight="1">
      <c r="A794" s="63" t="s">
        <v>2167</v>
      </c>
      <c r="B794" s="63" t="s">
        <v>14</v>
      </c>
      <c r="C794" s="63" t="s">
        <v>4366</v>
      </c>
      <c r="D794" s="63" t="s">
        <v>4367</v>
      </c>
      <c r="E794" s="63" t="s">
        <v>4368</v>
      </c>
      <c r="F794" s="63" t="s">
        <v>2218</v>
      </c>
      <c r="G794" s="63" t="s">
        <v>4369</v>
      </c>
      <c r="H794" s="63" t="s">
        <v>18</v>
      </c>
      <c r="I794" s="63" t="s">
        <v>750</v>
      </c>
    </row>
    <row r="795" ht="11.25" customHeight="1">
      <c r="A795" s="63" t="s">
        <v>2167</v>
      </c>
      <c r="B795" s="63" t="s">
        <v>14</v>
      </c>
      <c r="C795" s="63" t="s">
        <v>4370</v>
      </c>
      <c r="D795" s="63" t="s">
        <v>4371</v>
      </c>
      <c r="E795" s="63" t="s">
        <v>4372</v>
      </c>
      <c r="F795" s="63" t="s">
        <v>2210</v>
      </c>
      <c r="G795" s="63" t="s">
        <v>4373</v>
      </c>
      <c r="H795" s="63" t="s">
        <v>18</v>
      </c>
      <c r="I795" s="63" t="s">
        <v>750</v>
      </c>
    </row>
    <row r="796" ht="11.25" customHeight="1">
      <c r="A796" s="63" t="s">
        <v>2167</v>
      </c>
      <c r="B796" s="63" t="s">
        <v>14</v>
      </c>
      <c r="C796" s="63" t="s">
        <v>4374</v>
      </c>
      <c r="D796" s="63" t="s">
        <v>4375</v>
      </c>
      <c r="E796" s="63" t="s">
        <v>4376</v>
      </c>
      <c r="F796" s="63" t="s">
        <v>2602</v>
      </c>
      <c r="G796" s="63" t="s">
        <v>4377</v>
      </c>
      <c r="H796" s="63" t="s">
        <v>18</v>
      </c>
      <c r="I796" s="63" t="s">
        <v>750</v>
      </c>
    </row>
    <row r="797" ht="11.25" customHeight="1">
      <c r="A797" s="63" t="s">
        <v>2167</v>
      </c>
      <c r="B797" s="63" t="s">
        <v>14</v>
      </c>
      <c r="C797" s="63" t="s">
        <v>2883</v>
      </c>
      <c r="D797" s="63" t="s">
        <v>2884</v>
      </c>
      <c r="E797" s="63" t="s">
        <v>2885</v>
      </c>
      <c r="F797" s="63" t="s">
        <v>2171</v>
      </c>
      <c r="G797" s="63" t="s">
        <v>2886</v>
      </c>
      <c r="H797" s="63" t="s">
        <v>18</v>
      </c>
      <c r="I797" s="63" t="s">
        <v>750</v>
      </c>
    </row>
    <row r="798" ht="11.25" customHeight="1">
      <c r="A798" s="63" t="s">
        <v>2167</v>
      </c>
      <c r="B798" s="63" t="s">
        <v>14</v>
      </c>
      <c r="C798" s="63" t="s">
        <v>4378</v>
      </c>
      <c r="D798" s="63" t="s">
        <v>4379</v>
      </c>
      <c r="E798" s="63" t="s">
        <v>4380</v>
      </c>
      <c r="F798" s="63" t="s">
        <v>2550</v>
      </c>
      <c r="G798" s="63" t="s">
        <v>4381</v>
      </c>
      <c r="H798" s="63" t="s">
        <v>18</v>
      </c>
      <c r="I798" s="63" t="s">
        <v>750</v>
      </c>
    </row>
    <row r="799" ht="11.25" customHeight="1">
      <c r="A799" s="63" t="s">
        <v>2167</v>
      </c>
      <c r="B799" s="63" t="s">
        <v>14</v>
      </c>
      <c r="C799" s="63" t="s">
        <v>2887</v>
      </c>
      <c r="D799" s="63" t="s">
        <v>2888</v>
      </c>
      <c r="E799" s="63" t="s">
        <v>2889</v>
      </c>
      <c r="F799" s="63" t="s">
        <v>2171</v>
      </c>
      <c r="G799" s="63" t="s">
        <v>2890</v>
      </c>
      <c r="H799" s="63" t="s">
        <v>18</v>
      </c>
      <c r="I799" s="63" t="s">
        <v>750</v>
      </c>
    </row>
    <row r="800" ht="11.25" customHeight="1">
      <c r="A800" s="63" t="s">
        <v>2167</v>
      </c>
      <c r="B800" s="63" t="s">
        <v>14</v>
      </c>
      <c r="C800" s="63" t="s">
        <v>4382</v>
      </c>
      <c r="D800" s="63" t="s">
        <v>4383</v>
      </c>
      <c r="E800" s="63" t="s">
        <v>4384</v>
      </c>
      <c r="F800" s="63" t="s">
        <v>2249</v>
      </c>
      <c r="G800" s="63" t="s">
        <v>4385</v>
      </c>
      <c r="H800" s="63" t="s">
        <v>18</v>
      </c>
      <c r="I800" s="63" t="s">
        <v>750</v>
      </c>
    </row>
    <row r="801" ht="11.25" customHeight="1">
      <c r="A801" s="63" t="s">
        <v>2167</v>
      </c>
      <c r="B801" s="63" t="s">
        <v>14</v>
      </c>
      <c r="C801" s="63" t="s">
        <v>4386</v>
      </c>
      <c r="D801" s="63" t="s">
        <v>4387</v>
      </c>
      <c r="E801" s="63" t="s">
        <v>4388</v>
      </c>
      <c r="F801" s="63" t="s">
        <v>2759</v>
      </c>
      <c r="G801" s="63" t="s">
        <v>4389</v>
      </c>
      <c r="H801" s="63" t="s">
        <v>18</v>
      </c>
      <c r="I801" s="63" t="s">
        <v>750</v>
      </c>
    </row>
    <row r="802" ht="11.25" customHeight="1">
      <c r="A802" s="63" t="s">
        <v>2167</v>
      </c>
      <c r="B802" s="63" t="s">
        <v>14</v>
      </c>
      <c r="C802" s="63" t="s">
        <v>4390</v>
      </c>
      <c r="D802" s="63" t="s">
        <v>4391</v>
      </c>
      <c r="E802" s="63" t="s">
        <v>4392</v>
      </c>
      <c r="F802" s="63" t="s">
        <v>2759</v>
      </c>
      <c r="G802" s="63" t="s">
        <v>4393</v>
      </c>
      <c r="H802" s="63" t="s">
        <v>18</v>
      </c>
      <c r="I802" s="63" t="s">
        <v>750</v>
      </c>
    </row>
    <row r="803" ht="11.25" customHeight="1">
      <c r="A803" s="63" t="s">
        <v>2167</v>
      </c>
      <c r="B803" s="63" t="s">
        <v>14</v>
      </c>
      <c r="C803" s="63" t="s">
        <v>4394</v>
      </c>
      <c r="D803" s="63" t="s">
        <v>4395</v>
      </c>
      <c r="E803" s="63" t="s">
        <v>4396</v>
      </c>
      <c r="F803" s="63" t="s">
        <v>2185</v>
      </c>
      <c r="G803" s="63" t="s">
        <v>18</v>
      </c>
      <c r="H803" s="63" t="s">
        <v>18</v>
      </c>
      <c r="I803" s="63" t="s">
        <v>750</v>
      </c>
    </row>
    <row r="804" ht="11.25" customHeight="1">
      <c r="A804" s="63" t="s">
        <v>2167</v>
      </c>
      <c r="B804" s="63" t="s">
        <v>14</v>
      </c>
      <c r="C804" s="63" t="s">
        <v>4397</v>
      </c>
      <c r="D804" s="63" t="s">
        <v>4398</v>
      </c>
      <c r="E804" s="63" t="s">
        <v>4399</v>
      </c>
      <c r="F804" s="63" t="s">
        <v>2249</v>
      </c>
      <c r="G804" s="63" t="s">
        <v>4400</v>
      </c>
      <c r="H804" s="63" t="s">
        <v>18</v>
      </c>
      <c r="I804" s="63" t="s">
        <v>750</v>
      </c>
    </row>
    <row r="805" ht="11.25" customHeight="1">
      <c r="A805" s="63" t="s">
        <v>2167</v>
      </c>
      <c r="B805" s="63" t="s">
        <v>14</v>
      </c>
      <c r="C805" s="63" t="s">
        <v>4401</v>
      </c>
      <c r="D805" s="63" t="s">
        <v>4402</v>
      </c>
      <c r="E805" s="63" t="s">
        <v>4403</v>
      </c>
      <c r="F805" s="63" t="s">
        <v>4404</v>
      </c>
      <c r="G805" s="63" t="s">
        <v>4405</v>
      </c>
      <c r="H805" s="63" t="s">
        <v>18</v>
      </c>
      <c r="I805" s="63" t="s">
        <v>750</v>
      </c>
    </row>
    <row r="806" ht="11.25" customHeight="1">
      <c r="A806" s="63" t="s">
        <v>2167</v>
      </c>
      <c r="B806" s="63" t="s">
        <v>14</v>
      </c>
      <c r="C806" s="63" t="s">
        <v>4406</v>
      </c>
      <c r="D806" s="63" t="s">
        <v>4407</v>
      </c>
      <c r="E806" s="63" t="s">
        <v>4408</v>
      </c>
      <c r="F806" s="63" t="s">
        <v>2218</v>
      </c>
      <c r="G806" s="63" t="s">
        <v>4409</v>
      </c>
      <c r="H806" s="63" t="s">
        <v>18</v>
      </c>
      <c r="I806" s="63" t="s">
        <v>750</v>
      </c>
    </row>
    <row r="807" ht="11.25" customHeight="1">
      <c r="A807" s="63" t="s">
        <v>2167</v>
      </c>
      <c r="B807" s="63" t="s">
        <v>14</v>
      </c>
      <c r="C807" s="63" t="s">
        <v>4410</v>
      </c>
      <c r="D807" s="63" t="s">
        <v>4411</v>
      </c>
      <c r="E807" s="63" t="s">
        <v>4412</v>
      </c>
      <c r="F807" s="63" t="s">
        <v>2506</v>
      </c>
      <c r="G807" s="63" t="s">
        <v>4413</v>
      </c>
      <c r="H807" s="63" t="s">
        <v>18</v>
      </c>
      <c r="I807" s="63" t="s">
        <v>750</v>
      </c>
    </row>
    <row r="808" ht="11.25" customHeight="1">
      <c r="A808" s="63" t="s">
        <v>2167</v>
      </c>
      <c r="B808" s="63" t="s">
        <v>14</v>
      </c>
      <c r="C808" s="63" t="s">
        <v>4414</v>
      </c>
      <c r="D808" s="63" t="s">
        <v>4415</v>
      </c>
      <c r="E808" s="63" t="s">
        <v>4416</v>
      </c>
      <c r="F808" s="63" t="s">
        <v>2171</v>
      </c>
      <c r="G808" s="63" t="s">
        <v>4417</v>
      </c>
      <c r="H808" s="63" t="s">
        <v>18</v>
      </c>
      <c r="I808" s="63" t="s">
        <v>750</v>
      </c>
    </row>
    <row r="809" ht="11.25" customHeight="1">
      <c r="A809" s="63" t="s">
        <v>2167</v>
      </c>
      <c r="B809" s="63" t="s">
        <v>14</v>
      </c>
      <c r="C809" s="63" t="s">
        <v>4418</v>
      </c>
      <c r="D809" s="63" t="s">
        <v>4419</v>
      </c>
      <c r="E809" s="63" t="s">
        <v>4420</v>
      </c>
      <c r="F809" s="63" t="s">
        <v>2656</v>
      </c>
      <c r="G809" s="63" t="s">
        <v>4421</v>
      </c>
      <c r="H809" s="63" t="s">
        <v>18</v>
      </c>
      <c r="I809" s="63" t="s">
        <v>750</v>
      </c>
    </row>
    <row r="810" ht="11.25" customHeight="1">
      <c r="A810" s="63" t="s">
        <v>2167</v>
      </c>
      <c r="B810" s="63" t="s">
        <v>14</v>
      </c>
      <c r="C810" s="63" t="s">
        <v>4422</v>
      </c>
      <c r="D810" s="63" t="s">
        <v>4423</v>
      </c>
      <c r="E810" s="63" t="s">
        <v>4424</v>
      </c>
      <c r="F810" s="63" t="s">
        <v>2607</v>
      </c>
      <c r="G810" s="63" t="s">
        <v>3691</v>
      </c>
      <c r="H810" s="63" t="s">
        <v>18</v>
      </c>
      <c r="I810" s="63" t="s">
        <v>750</v>
      </c>
    </row>
    <row r="811" ht="11.25" customHeight="1">
      <c r="A811" s="63" t="s">
        <v>2167</v>
      </c>
      <c r="B811" s="63" t="s">
        <v>14</v>
      </c>
      <c r="C811" s="63" t="s">
        <v>2962</v>
      </c>
      <c r="D811" s="63" t="s">
        <v>2963</v>
      </c>
      <c r="E811" s="63" t="s">
        <v>2964</v>
      </c>
      <c r="F811" s="63" t="s">
        <v>2311</v>
      </c>
      <c r="G811" s="63" t="s">
        <v>2965</v>
      </c>
      <c r="H811" s="63" t="s">
        <v>18</v>
      </c>
      <c r="I811" s="63" t="s">
        <v>750</v>
      </c>
    </row>
    <row r="812" ht="11.25" customHeight="1">
      <c r="A812" s="63" t="s">
        <v>2167</v>
      </c>
      <c r="B812" s="63" t="s">
        <v>14</v>
      </c>
      <c r="C812" s="63" t="s">
        <v>4425</v>
      </c>
      <c r="D812" s="63" t="s">
        <v>4426</v>
      </c>
      <c r="E812" s="63" t="s">
        <v>4427</v>
      </c>
      <c r="F812" s="63" t="s">
        <v>2269</v>
      </c>
      <c r="G812" s="63" t="s">
        <v>4428</v>
      </c>
      <c r="H812" s="63" t="s">
        <v>18</v>
      </c>
      <c r="I812" s="63" t="s">
        <v>750</v>
      </c>
    </row>
    <row r="813" ht="11.25" customHeight="1">
      <c r="A813" s="63" t="s">
        <v>2167</v>
      </c>
      <c r="B813" s="63" t="s">
        <v>14</v>
      </c>
      <c r="C813" s="63" t="s">
        <v>4429</v>
      </c>
      <c r="D813" s="63" t="s">
        <v>4430</v>
      </c>
      <c r="E813" s="63" t="s">
        <v>4431</v>
      </c>
      <c r="F813" s="63" t="s">
        <v>2171</v>
      </c>
      <c r="G813" s="63" t="s">
        <v>4432</v>
      </c>
      <c r="H813" s="63" t="s">
        <v>18</v>
      </c>
      <c r="I813" s="63" t="s">
        <v>750</v>
      </c>
    </row>
    <row r="814" ht="11.25" customHeight="1">
      <c r="A814" s="63" t="s">
        <v>2167</v>
      </c>
      <c r="B814" s="63" t="s">
        <v>14</v>
      </c>
      <c r="C814" s="63" t="s">
        <v>4433</v>
      </c>
      <c r="D814" s="63" t="s">
        <v>4434</v>
      </c>
      <c r="E814" s="63" t="s">
        <v>4435</v>
      </c>
      <c r="F814" s="63" t="s">
        <v>2557</v>
      </c>
      <c r="G814" s="63" t="s">
        <v>18</v>
      </c>
      <c r="H814" s="63" t="s">
        <v>18</v>
      </c>
      <c r="I814" s="63" t="s">
        <v>750</v>
      </c>
    </row>
    <row r="815" ht="11.25" customHeight="1">
      <c r="A815" s="63" t="s">
        <v>2167</v>
      </c>
      <c r="B815" s="63" t="s">
        <v>14</v>
      </c>
      <c r="C815" s="63" t="s">
        <v>4436</v>
      </c>
      <c r="D815" s="63" t="s">
        <v>4437</v>
      </c>
      <c r="E815" s="63" t="s">
        <v>4438</v>
      </c>
      <c r="F815" s="63" t="s">
        <v>2171</v>
      </c>
      <c r="G815" s="63" t="s">
        <v>4439</v>
      </c>
      <c r="H815" s="63" t="s">
        <v>18</v>
      </c>
      <c r="I815" s="63" t="s">
        <v>750</v>
      </c>
    </row>
    <row r="816" ht="11.25" customHeight="1">
      <c r="A816" s="63" t="s">
        <v>2167</v>
      </c>
      <c r="B816" s="63" t="s">
        <v>14</v>
      </c>
      <c r="C816" s="63" t="s">
        <v>4440</v>
      </c>
      <c r="D816" s="63" t="s">
        <v>4441</v>
      </c>
      <c r="E816" s="63" t="s">
        <v>4442</v>
      </c>
      <c r="F816" s="63" t="s">
        <v>4443</v>
      </c>
      <c r="G816" s="63" t="s">
        <v>4444</v>
      </c>
      <c r="H816" s="63" t="s">
        <v>18</v>
      </c>
      <c r="I816" s="63" t="s">
        <v>750</v>
      </c>
    </row>
    <row r="817" ht="11.25" customHeight="1">
      <c r="A817" s="63" t="s">
        <v>2167</v>
      </c>
      <c r="B817" s="63" t="s">
        <v>14</v>
      </c>
      <c r="C817" s="63" t="s">
        <v>3002</v>
      </c>
      <c r="D817" s="63" t="s">
        <v>3003</v>
      </c>
      <c r="E817" s="63" t="s">
        <v>3004</v>
      </c>
      <c r="F817" s="63" t="s">
        <v>3005</v>
      </c>
      <c r="G817" s="63" t="s">
        <v>18</v>
      </c>
      <c r="H817" s="63" t="s">
        <v>18</v>
      </c>
      <c r="I817" s="63" t="s">
        <v>750</v>
      </c>
    </row>
    <row r="818" ht="11.25" customHeight="1">
      <c r="A818" s="63" t="s">
        <v>2167</v>
      </c>
      <c r="B818" s="63" t="s">
        <v>14</v>
      </c>
      <c r="C818" s="63" t="s">
        <v>4445</v>
      </c>
      <c r="D818" s="63" t="s">
        <v>4446</v>
      </c>
      <c r="E818" s="63" t="s">
        <v>4447</v>
      </c>
      <c r="F818" s="63" t="s">
        <v>2557</v>
      </c>
      <c r="G818" s="63" t="s">
        <v>4448</v>
      </c>
      <c r="H818" s="63" t="s">
        <v>18</v>
      </c>
      <c r="I818" s="63" t="s">
        <v>750</v>
      </c>
    </row>
    <row r="819" ht="11.25" customHeight="1">
      <c r="A819" s="63" t="s">
        <v>2167</v>
      </c>
      <c r="B819" s="63" t="s">
        <v>14</v>
      </c>
      <c r="C819" s="63" t="s">
        <v>3006</v>
      </c>
      <c r="D819" s="63" t="s">
        <v>3007</v>
      </c>
      <c r="E819" s="63" t="s">
        <v>3008</v>
      </c>
      <c r="F819" s="63" t="s">
        <v>2210</v>
      </c>
      <c r="G819" s="63" t="s">
        <v>3009</v>
      </c>
      <c r="H819" s="63" t="s">
        <v>18</v>
      </c>
      <c r="I819" s="63" t="s">
        <v>750</v>
      </c>
    </row>
    <row r="820" ht="11.25" customHeight="1">
      <c r="A820" s="63" t="s">
        <v>2167</v>
      </c>
      <c r="B820" s="63" t="s">
        <v>14</v>
      </c>
      <c r="C820" s="63" t="s">
        <v>4449</v>
      </c>
      <c r="D820" s="63" t="s">
        <v>4450</v>
      </c>
      <c r="E820" s="63" t="s">
        <v>4451</v>
      </c>
      <c r="F820" s="63" t="s">
        <v>4452</v>
      </c>
      <c r="G820" s="63" t="s">
        <v>4453</v>
      </c>
      <c r="H820" s="63" t="s">
        <v>18</v>
      </c>
      <c r="I820" s="63" t="s">
        <v>750</v>
      </c>
    </row>
    <row r="821" ht="11.25" customHeight="1">
      <c r="A821" s="63" t="s">
        <v>2167</v>
      </c>
      <c r="B821" s="63" t="s">
        <v>14</v>
      </c>
      <c r="C821" s="63" t="s">
        <v>4454</v>
      </c>
      <c r="D821" s="63" t="s">
        <v>4455</v>
      </c>
      <c r="E821" s="63" t="s">
        <v>4456</v>
      </c>
      <c r="F821" s="63" t="s">
        <v>2291</v>
      </c>
      <c r="G821" s="63" t="s">
        <v>18</v>
      </c>
      <c r="H821" s="63" t="s">
        <v>18</v>
      </c>
      <c r="I821" s="63" t="s">
        <v>750</v>
      </c>
    </row>
    <row r="822" ht="11.25" customHeight="1">
      <c r="A822" s="63" t="s">
        <v>2167</v>
      </c>
      <c r="B822" s="63" t="s">
        <v>14</v>
      </c>
      <c r="C822" s="63" t="s">
        <v>4457</v>
      </c>
      <c r="D822" s="63" t="s">
        <v>4458</v>
      </c>
      <c r="E822" s="63" t="s">
        <v>4459</v>
      </c>
      <c r="F822" s="63" t="s">
        <v>2218</v>
      </c>
      <c r="G822" s="63" t="s">
        <v>4460</v>
      </c>
      <c r="H822" s="63" t="s">
        <v>18</v>
      </c>
      <c r="I822" s="63" t="s">
        <v>750</v>
      </c>
    </row>
    <row r="823" ht="11.25" customHeight="1">
      <c r="A823" s="63" t="s">
        <v>2167</v>
      </c>
      <c r="B823" s="63" t="s">
        <v>14</v>
      </c>
      <c r="C823" s="63" t="s">
        <v>4461</v>
      </c>
      <c r="D823" s="63" t="s">
        <v>4462</v>
      </c>
      <c r="E823" s="63" t="s">
        <v>4438</v>
      </c>
      <c r="F823" s="63" t="s">
        <v>2210</v>
      </c>
      <c r="G823" s="63" t="s">
        <v>4463</v>
      </c>
      <c r="H823" s="63" t="s">
        <v>18</v>
      </c>
      <c r="I823" s="63" t="s">
        <v>750</v>
      </c>
    </row>
    <row r="824" ht="11.25" customHeight="1">
      <c r="A824" s="63" t="s">
        <v>2167</v>
      </c>
      <c r="B824" s="63" t="s">
        <v>14</v>
      </c>
      <c r="C824" s="63" t="s">
        <v>4464</v>
      </c>
      <c r="D824" s="63" t="s">
        <v>4465</v>
      </c>
      <c r="E824" s="63" t="s">
        <v>4466</v>
      </c>
      <c r="F824" s="63" t="s">
        <v>2656</v>
      </c>
      <c r="G824" s="63" t="s">
        <v>4024</v>
      </c>
      <c r="H824" s="63" t="s">
        <v>18</v>
      </c>
      <c r="I824" s="63" t="s">
        <v>750</v>
      </c>
    </row>
    <row r="825" ht="11.25" customHeight="1">
      <c r="A825" s="63" t="s">
        <v>2167</v>
      </c>
      <c r="B825" s="63" t="s">
        <v>14</v>
      </c>
      <c r="C825" s="63" t="s">
        <v>3017</v>
      </c>
      <c r="D825" s="63" t="s">
        <v>3018</v>
      </c>
      <c r="E825" s="63" t="s">
        <v>3019</v>
      </c>
      <c r="F825" s="63" t="s">
        <v>2307</v>
      </c>
      <c r="G825" s="63" t="s">
        <v>3020</v>
      </c>
      <c r="H825" s="63" t="s">
        <v>18</v>
      </c>
      <c r="I825" s="63" t="s">
        <v>750</v>
      </c>
    </row>
    <row r="826" ht="11.25" customHeight="1">
      <c r="A826" s="63" t="s">
        <v>2167</v>
      </c>
      <c r="B826" s="63" t="s">
        <v>14</v>
      </c>
      <c r="C826" s="63" t="s">
        <v>3085</v>
      </c>
      <c r="D826" s="63" t="s">
        <v>3086</v>
      </c>
      <c r="E826" s="63" t="s">
        <v>3087</v>
      </c>
      <c r="F826" s="63" t="s">
        <v>2311</v>
      </c>
      <c r="G826" s="63" t="s">
        <v>3088</v>
      </c>
      <c r="H826" s="63" t="s">
        <v>18</v>
      </c>
      <c r="I826" s="63" t="s">
        <v>750</v>
      </c>
    </row>
    <row r="827" ht="11.25" customHeight="1">
      <c r="A827" s="63" t="s">
        <v>2167</v>
      </c>
      <c r="B827" s="63" t="s">
        <v>14</v>
      </c>
      <c r="C827" s="63" t="s">
        <v>4467</v>
      </c>
      <c r="D827" s="63" t="s">
        <v>4468</v>
      </c>
      <c r="E827" s="63" t="s">
        <v>4469</v>
      </c>
      <c r="F827" s="63" t="s">
        <v>2759</v>
      </c>
      <c r="G827" s="63" t="s">
        <v>4470</v>
      </c>
      <c r="H827" s="63" t="s">
        <v>18</v>
      </c>
      <c r="I827" s="63" t="s">
        <v>750</v>
      </c>
    </row>
    <row r="828" ht="11.25" customHeight="1">
      <c r="A828" s="63" t="s">
        <v>2167</v>
      </c>
      <c r="B828" s="63" t="s">
        <v>14</v>
      </c>
      <c r="C828" s="63" t="s">
        <v>4471</v>
      </c>
      <c r="D828" s="63" t="s">
        <v>4472</v>
      </c>
      <c r="E828" s="63" t="s">
        <v>4473</v>
      </c>
      <c r="F828" s="63" t="s">
        <v>2898</v>
      </c>
      <c r="G828" s="63" t="s">
        <v>3967</v>
      </c>
      <c r="H828" s="63" t="s">
        <v>18</v>
      </c>
      <c r="I828" s="63" t="s">
        <v>750</v>
      </c>
    </row>
    <row r="829" ht="11.25" customHeight="1">
      <c r="A829" s="63" t="s">
        <v>2167</v>
      </c>
      <c r="B829" s="63" t="s">
        <v>14</v>
      </c>
      <c r="C829" s="63" t="s">
        <v>4474</v>
      </c>
      <c r="D829" s="63" t="s">
        <v>4475</v>
      </c>
      <c r="E829" s="63" t="s">
        <v>4476</v>
      </c>
      <c r="F829" s="63" t="s">
        <v>2557</v>
      </c>
      <c r="G829" s="63" t="s">
        <v>4477</v>
      </c>
      <c r="H829" s="63" t="s">
        <v>18</v>
      </c>
      <c r="I829" s="63" t="s">
        <v>750</v>
      </c>
    </row>
    <row r="830" ht="11.25" customHeight="1">
      <c r="A830" s="63" t="s">
        <v>2167</v>
      </c>
      <c r="B830" s="63" t="s">
        <v>14</v>
      </c>
      <c r="C830" s="63" t="s">
        <v>4478</v>
      </c>
      <c r="D830" s="63" t="s">
        <v>4479</v>
      </c>
      <c r="E830" s="63" t="s">
        <v>4480</v>
      </c>
      <c r="F830" s="63" t="s">
        <v>2185</v>
      </c>
      <c r="G830" s="63" t="s">
        <v>18</v>
      </c>
      <c r="H830" s="63" t="s">
        <v>18</v>
      </c>
      <c r="I830" s="63" t="s">
        <v>750</v>
      </c>
    </row>
    <row r="831" ht="11.25" customHeight="1">
      <c r="A831" s="63" t="s">
        <v>2167</v>
      </c>
      <c r="B831" s="63" t="s">
        <v>14</v>
      </c>
      <c r="C831" s="63" t="s">
        <v>3133</v>
      </c>
      <c r="D831" s="63" t="s">
        <v>3134</v>
      </c>
      <c r="E831" s="63" t="s">
        <v>3135</v>
      </c>
      <c r="F831" s="63" t="s">
        <v>2176</v>
      </c>
      <c r="G831" s="63" t="s">
        <v>3136</v>
      </c>
      <c r="H831" s="63" t="s">
        <v>18</v>
      </c>
      <c r="I831" s="63" t="s">
        <v>750</v>
      </c>
    </row>
    <row r="832" ht="11.25" customHeight="1">
      <c r="A832" s="63" t="s">
        <v>2167</v>
      </c>
      <c r="B832" s="63" t="s">
        <v>14</v>
      </c>
      <c r="C832" s="63" t="s">
        <v>3137</v>
      </c>
      <c r="D832" s="63" t="s">
        <v>3138</v>
      </c>
      <c r="E832" s="63" t="s">
        <v>3139</v>
      </c>
      <c r="F832" s="63" t="s">
        <v>2218</v>
      </c>
      <c r="G832" s="63" t="s">
        <v>3140</v>
      </c>
      <c r="H832" s="63" t="s">
        <v>18</v>
      </c>
      <c r="I832" s="63" t="s">
        <v>750</v>
      </c>
    </row>
    <row r="833" ht="11.25" customHeight="1">
      <c r="A833" s="63" t="s">
        <v>2167</v>
      </c>
      <c r="B833" s="63" t="s">
        <v>14</v>
      </c>
      <c r="C833" s="63" t="s">
        <v>4481</v>
      </c>
      <c r="D833" s="63" t="s">
        <v>4482</v>
      </c>
      <c r="E833" s="63" t="s">
        <v>4483</v>
      </c>
      <c r="F833" s="63" t="s">
        <v>4484</v>
      </c>
      <c r="G833" s="63" t="s">
        <v>2998</v>
      </c>
      <c r="H833" s="63" t="s">
        <v>18</v>
      </c>
      <c r="I833" s="63" t="s">
        <v>750</v>
      </c>
    </row>
    <row r="834" ht="11.25" customHeight="1">
      <c r="A834" s="63" t="s">
        <v>2167</v>
      </c>
      <c r="B834" s="63" t="s">
        <v>14</v>
      </c>
      <c r="C834" s="63" t="s">
        <v>4485</v>
      </c>
      <c r="D834" s="63" t="s">
        <v>4486</v>
      </c>
      <c r="E834" s="63" t="s">
        <v>4487</v>
      </c>
      <c r="F834" s="63" t="s">
        <v>2218</v>
      </c>
      <c r="G834" s="63" t="s">
        <v>4488</v>
      </c>
      <c r="H834" s="63" t="s">
        <v>18</v>
      </c>
      <c r="I834" s="63" t="s">
        <v>750</v>
      </c>
    </row>
    <row r="835" ht="11.25" customHeight="1">
      <c r="A835" s="63" t="s">
        <v>2167</v>
      </c>
      <c r="B835" s="63" t="s">
        <v>14</v>
      </c>
      <c r="C835" s="63" t="s">
        <v>4489</v>
      </c>
      <c r="D835" s="63" t="s">
        <v>4490</v>
      </c>
      <c r="E835" s="63" t="s">
        <v>4491</v>
      </c>
      <c r="F835" s="63" t="s">
        <v>2602</v>
      </c>
      <c r="G835" s="63" t="s">
        <v>4492</v>
      </c>
      <c r="H835" s="63" t="s">
        <v>18</v>
      </c>
      <c r="I835" s="63" t="s">
        <v>750</v>
      </c>
    </row>
    <row r="836" ht="11.25" customHeight="1">
      <c r="A836" s="63" t="s">
        <v>2167</v>
      </c>
      <c r="B836" s="63" t="s">
        <v>14</v>
      </c>
      <c r="C836" s="63" t="s">
        <v>4493</v>
      </c>
      <c r="D836" s="63" t="s">
        <v>4494</v>
      </c>
      <c r="E836" s="63" t="s">
        <v>4495</v>
      </c>
      <c r="F836" s="63" t="s">
        <v>2626</v>
      </c>
      <c r="G836" s="63" t="s">
        <v>4496</v>
      </c>
      <c r="H836" s="63" t="s">
        <v>18</v>
      </c>
      <c r="I836" s="63" t="s">
        <v>750</v>
      </c>
    </row>
    <row r="837" ht="11.25" customHeight="1">
      <c r="A837" s="63" t="s">
        <v>2167</v>
      </c>
      <c r="B837" s="63" t="s">
        <v>14</v>
      </c>
      <c r="C837" s="63" t="s">
        <v>3170</v>
      </c>
      <c r="D837" s="63" t="s">
        <v>3171</v>
      </c>
      <c r="E837" s="63" t="s">
        <v>3172</v>
      </c>
      <c r="F837" s="63" t="s">
        <v>2171</v>
      </c>
      <c r="G837" s="63" t="s">
        <v>18</v>
      </c>
      <c r="H837" s="63" t="s">
        <v>18</v>
      </c>
      <c r="I837" s="63" t="s">
        <v>750</v>
      </c>
    </row>
    <row r="838" ht="11.25" customHeight="1">
      <c r="A838" s="63" t="s">
        <v>2167</v>
      </c>
      <c r="B838" s="63" t="s">
        <v>14</v>
      </c>
      <c r="C838" s="63" t="s">
        <v>4497</v>
      </c>
      <c r="D838" s="63" t="s">
        <v>4498</v>
      </c>
      <c r="E838" s="63" t="s">
        <v>4499</v>
      </c>
      <c r="F838" s="63" t="s">
        <v>2421</v>
      </c>
      <c r="G838" s="63" t="s">
        <v>4500</v>
      </c>
      <c r="H838" s="63" t="s">
        <v>18</v>
      </c>
      <c r="I838" s="63" t="s">
        <v>750</v>
      </c>
    </row>
    <row r="839" ht="11.25" customHeight="1">
      <c r="A839" s="63" t="s">
        <v>2167</v>
      </c>
      <c r="B839" s="63" t="s">
        <v>14</v>
      </c>
      <c r="C839" s="63" t="s">
        <v>3195</v>
      </c>
      <c r="D839" s="63" t="s">
        <v>3196</v>
      </c>
      <c r="E839" s="63" t="s">
        <v>3197</v>
      </c>
      <c r="F839" s="63" t="s">
        <v>2171</v>
      </c>
      <c r="G839" s="63" t="s">
        <v>3198</v>
      </c>
      <c r="H839" s="63" t="s">
        <v>18</v>
      </c>
      <c r="I839" s="63" t="s">
        <v>750</v>
      </c>
    </row>
    <row r="840" ht="11.25" customHeight="1">
      <c r="A840" s="63" t="s">
        <v>2167</v>
      </c>
      <c r="B840" s="63" t="s">
        <v>14</v>
      </c>
      <c r="C840" s="63" t="s">
        <v>4501</v>
      </c>
      <c r="D840" s="63" t="s">
        <v>4502</v>
      </c>
      <c r="E840" s="63" t="s">
        <v>4503</v>
      </c>
      <c r="F840" s="63" t="s">
        <v>2171</v>
      </c>
      <c r="G840" s="63" t="s">
        <v>4504</v>
      </c>
      <c r="H840" s="63" t="s">
        <v>18</v>
      </c>
      <c r="I840" s="63" t="s">
        <v>750</v>
      </c>
    </row>
    <row r="841" ht="11.25" customHeight="1">
      <c r="A841" s="63" t="s">
        <v>2167</v>
      </c>
      <c r="B841" s="63" t="s">
        <v>14</v>
      </c>
      <c r="C841" s="63" t="s">
        <v>4505</v>
      </c>
      <c r="D841" s="63" t="s">
        <v>4506</v>
      </c>
      <c r="E841" s="63" t="s">
        <v>4507</v>
      </c>
      <c r="F841" s="63" t="s">
        <v>2171</v>
      </c>
      <c r="G841" s="63" t="s">
        <v>4508</v>
      </c>
      <c r="H841" s="63" t="s">
        <v>18</v>
      </c>
      <c r="I841" s="63" t="s">
        <v>750</v>
      </c>
    </row>
    <row r="842" ht="11.25" customHeight="1">
      <c r="A842" s="63" t="s">
        <v>2167</v>
      </c>
      <c r="B842" s="63" t="s">
        <v>14</v>
      </c>
      <c r="C842" s="63" t="s">
        <v>3206</v>
      </c>
      <c r="D842" s="63" t="s">
        <v>3207</v>
      </c>
      <c r="E842" s="63" t="s">
        <v>3208</v>
      </c>
      <c r="F842" s="63" t="s">
        <v>2185</v>
      </c>
      <c r="G842" s="63" t="s">
        <v>18</v>
      </c>
      <c r="H842" s="63" t="s">
        <v>18</v>
      </c>
      <c r="I842" s="63" t="s">
        <v>750</v>
      </c>
    </row>
    <row r="843" ht="11.25" customHeight="1">
      <c r="A843" s="63" t="s">
        <v>2167</v>
      </c>
      <c r="B843" s="63" t="s">
        <v>14</v>
      </c>
      <c r="C843" s="63" t="s">
        <v>4509</v>
      </c>
      <c r="D843" s="63" t="s">
        <v>4510</v>
      </c>
      <c r="E843" s="63" t="s">
        <v>4511</v>
      </c>
      <c r="F843" s="63" t="s">
        <v>2311</v>
      </c>
      <c r="G843" s="63" t="s">
        <v>4512</v>
      </c>
      <c r="H843" s="63" t="s">
        <v>18</v>
      </c>
      <c r="I843" s="63" t="s">
        <v>750</v>
      </c>
    </row>
    <row r="844" ht="11.25" customHeight="1">
      <c r="A844" s="63" t="s">
        <v>2167</v>
      </c>
      <c r="B844" s="63" t="s">
        <v>14</v>
      </c>
      <c r="C844" s="63" t="s">
        <v>4513</v>
      </c>
      <c r="D844" s="63" t="s">
        <v>4514</v>
      </c>
      <c r="E844" s="63" t="s">
        <v>4515</v>
      </c>
      <c r="F844" s="63" t="s">
        <v>2171</v>
      </c>
      <c r="G844" s="63" t="s">
        <v>4516</v>
      </c>
      <c r="H844" s="63" t="s">
        <v>18</v>
      </c>
      <c r="I844" s="63" t="s">
        <v>750</v>
      </c>
    </row>
    <row r="845" ht="11.25" customHeight="1">
      <c r="A845" s="63" t="s">
        <v>2167</v>
      </c>
      <c r="B845" s="63" t="s">
        <v>14</v>
      </c>
      <c r="C845" s="63" t="s">
        <v>4517</v>
      </c>
      <c r="D845" s="63" t="s">
        <v>4518</v>
      </c>
      <c r="E845" s="63" t="s">
        <v>4519</v>
      </c>
      <c r="F845" s="63" t="s">
        <v>2557</v>
      </c>
      <c r="G845" s="63" t="s">
        <v>4520</v>
      </c>
      <c r="H845" s="63" t="s">
        <v>18</v>
      </c>
      <c r="I845" s="63" t="s">
        <v>750</v>
      </c>
    </row>
    <row r="846" ht="11.25" customHeight="1">
      <c r="A846" s="63" t="s">
        <v>2167</v>
      </c>
      <c r="B846" s="63" t="s">
        <v>14</v>
      </c>
      <c r="C846" s="63" t="s">
        <v>4521</v>
      </c>
      <c r="D846" s="63" t="s">
        <v>4522</v>
      </c>
      <c r="E846" s="63" t="s">
        <v>4523</v>
      </c>
      <c r="F846" s="63" t="s">
        <v>2171</v>
      </c>
      <c r="G846" s="63" t="s">
        <v>4524</v>
      </c>
      <c r="H846" s="63" t="s">
        <v>18</v>
      </c>
      <c r="I846" s="63" t="s">
        <v>750</v>
      </c>
    </row>
    <row r="847" ht="11.25" customHeight="1">
      <c r="A847" s="63" t="s">
        <v>2167</v>
      </c>
      <c r="B847" s="63" t="s">
        <v>14</v>
      </c>
      <c r="C847" s="63" t="s">
        <v>3213</v>
      </c>
      <c r="D847" s="63" t="s">
        <v>3214</v>
      </c>
      <c r="E847" s="63" t="s">
        <v>3215</v>
      </c>
      <c r="F847" s="63" t="s">
        <v>2176</v>
      </c>
      <c r="G847" s="63" t="s">
        <v>3216</v>
      </c>
      <c r="H847" s="63" t="s">
        <v>18</v>
      </c>
      <c r="I847" s="63" t="s">
        <v>750</v>
      </c>
    </row>
    <row r="848" ht="11.25" customHeight="1">
      <c r="A848" s="63" t="s">
        <v>2167</v>
      </c>
      <c r="B848" s="63" t="s">
        <v>14</v>
      </c>
      <c r="C848" s="63" t="s">
        <v>3220</v>
      </c>
      <c r="D848" s="63" t="s">
        <v>3221</v>
      </c>
      <c r="E848" s="63" t="s">
        <v>3222</v>
      </c>
      <c r="F848" s="63" t="s">
        <v>3223</v>
      </c>
      <c r="G848" s="63" t="s">
        <v>3224</v>
      </c>
      <c r="H848" s="63" t="s">
        <v>18</v>
      </c>
      <c r="I848" s="63" t="s">
        <v>750</v>
      </c>
    </row>
    <row r="849" ht="11.25" customHeight="1">
      <c r="A849" s="63" t="s">
        <v>2167</v>
      </c>
      <c r="B849" s="63" t="s">
        <v>14</v>
      </c>
      <c r="C849" s="63" t="s">
        <v>4525</v>
      </c>
      <c r="D849" s="63" t="s">
        <v>4526</v>
      </c>
      <c r="E849" s="63" t="s">
        <v>4527</v>
      </c>
      <c r="F849" s="63" t="s">
        <v>2218</v>
      </c>
      <c r="G849" s="63" t="s">
        <v>4528</v>
      </c>
      <c r="H849" s="63" t="s">
        <v>18</v>
      </c>
      <c r="I849" s="63" t="s">
        <v>750</v>
      </c>
    </row>
    <row r="850" ht="11.25" customHeight="1">
      <c r="A850" s="63" t="s">
        <v>2167</v>
      </c>
      <c r="B850" s="63" t="s">
        <v>14</v>
      </c>
      <c r="C850" s="63" t="s">
        <v>4529</v>
      </c>
      <c r="D850" s="63" t="s">
        <v>4530</v>
      </c>
      <c r="E850" s="63" t="s">
        <v>4531</v>
      </c>
      <c r="F850" s="63" t="s">
        <v>2185</v>
      </c>
      <c r="G850" s="63" t="s">
        <v>18</v>
      </c>
      <c r="H850" s="63" t="s">
        <v>18</v>
      </c>
      <c r="I850" s="63" t="s">
        <v>750</v>
      </c>
    </row>
    <row r="851" ht="11.25" customHeight="1">
      <c r="A851" s="63" t="s">
        <v>2167</v>
      </c>
      <c r="B851" s="63" t="s">
        <v>14</v>
      </c>
      <c r="C851" s="63" t="s">
        <v>3444</v>
      </c>
      <c r="D851" s="63" t="s">
        <v>3445</v>
      </c>
      <c r="E851" s="63" t="s">
        <v>2198</v>
      </c>
      <c r="F851" s="63" t="s">
        <v>3446</v>
      </c>
      <c r="G851" s="63" t="s">
        <v>3447</v>
      </c>
      <c r="H851" s="63" t="s">
        <v>18</v>
      </c>
      <c r="I851" s="63" t="s">
        <v>750</v>
      </c>
    </row>
    <row r="852" ht="11.25" customHeight="1">
      <c r="A852" s="63" t="s">
        <v>2167</v>
      </c>
      <c r="B852" s="63" t="s">
        <v>14</v>
      </c>
      <c r="C852" s="63" t="s">
        <v>4532</v>
      </c>
      <c r="D852" s="63" t="s">
        <v>4533</v>
      </c>
      <c r="E852" s="63" t="s">
        <v>4534</v>
      </c>
      <c r="F852" s="63" t="s">
        <v>2291</v>
      </c>
      <c r="G852" s="63" t="s">
        <v>18</v>
      </c>
      <c r="H852" s="63" t="s">
        <v>18</v>
      </c>
      <c r="I852" s="63" t="s">
        <v>750</v>
      </c>
    </row>
    <row r="853" ht="11.25" customHeight="1">
      <c r="A853" s="63" t="s">
        <v>2167</v>
      </c>
      <c r="B853" s="63" t="s">
        <v>14</v>
      </c>
      <c r="C853" s="63" t="s">
        <v>3261</v>
      </c>
      <c r="D853" s="63" t="s">
        <v>3262</v>
      </c>
      <c r="E853" s="63" t="s">
        <v>3263</v>
      </c>
      <c r="F853" s="63" t="s">
        <v>2249</v>
      </c>
      <c r="G853" s="63" t="s">
        <v>18</v>
      </c>
      <c r="H853" s="63" t="s">
        <v>18</v>
      </c>
      <c r="I853" s="63" t="s">
        <v>750</v>
      </c>
    </row>
    <row r="854" ht="11.25" customHeight="1">
      <c r="A854" s="63" t="s">
        <v>2167</v>
      </c>
      <c r="B854" s="63" t="s">
        <v>14</v>
      </c>
      <c r="C854" s="63" t="s">
        <v>4535</v>
      </c>
      <c r="D854" s="63" t="s">
        <v>4536</v>
      </c>
      <c r="E854" s="63" t="s">
        <v>4537</v>
      </c>
      <c r="F854" s="63" t="s">
        <v>2645</v>
      </c>
      <c r="G854" s="63" t="s">
        <v>3691</v>
      </c>
      <c r="H854" s="63" t="s">
        <v>18</v>
      </c>
      <c r="I854" s="63" t="s">
        <v>750</v>
      </c>
    </row>
    <row r="855" ht="11.25" customHeight="1">
      <c r="A855" s="63" t="s">
        <v>2167</v>
      </c>
      <c r="B855" s="63" t="s">
        <v>14</v>
      </c>
      <c r="C855" s="63" t="s">
        <v>4538</v>
      </c>
      <c r="D855" s="63" t="s">
        <v>4539</v>
      </c>
      <c r="E855" s="63" t="s">
        <v>4540</v>
      </c>
      <c r="F855" s="63" t="s">
        <v>3274</v>
      </c>
      <c r="G855" s="63" t="s">
        <v>4541</v>
      </c>
      <c r="H855" s="63" t="s">
        <v>18</v>
      </c>
      <c r="I855" s="63" t="s">
        <v>750</v>
      </c>
    </row>
    <row r="856" ht="11.25" customHeight="1">
      <c r="A856" s="63" t="s">
        <v>2167</v>
      </c>
      <c r="B856" s="63" t="s">
        <v>14</v>
      </c>
      <c r="C856" s="63" t="s">
        <v>4542</v>
      </c>
      <c r="D856" s="63" t="s">
        <v>4543</v>
      </c>
      <c r="E856" s="63" t="s">
        <v>4544</v>
      </c>
      <c r="F856" s="63" t="s">
        <v>4545</v>
      </c>
      <c r="G856" s="63" t="s">
        <v>4546</v>
      </c>
      <c r="H856" s="63" t="s">
        <v>18</v>
      </c>
      <c r="I856" s="63" t="s">
        <v>750</v>
      </c>
    </row>
    <row r="857" ht="11.25" customHeight="1">
      <c r="A857" s="63" t="s">
        <v>2167</v>
      </c>
      <c r="B857" s="63" t="s">
        <v>14</v>
      </c>
      <c r="C857" s="63" t="s">
        <v>4547</v>
      </c>
      <c r="D857" s="63" t="s">
        <v>4548</v>
      </c>
      <c r="E857" s="63" t="s">
        <v>4549</v>
      </c>
      <c r="F857" s="63" t="s">
        <v>2645</v>
      </c>
      <c r="G857" s="63" t="s">
        <v>3691</v>
      </c>
      <c r="H857" s="63" t="s">
        <v>18</v>
      </c>
      <c r="I857" s="63" t="s">
        <v>750</v>
      </c>
    </row>
    <row r="858" ht="11.25" customHeight="1">
      <c r="A858" s="63" t="s">
        <v>2167</v>
      </c>
      <c r="B858" s="63" t="s">
        <v>14</v>
      </c>
      <c r="C858" s="63" t="s">
        <v>4550</v>
      </c>
      <c r="D858" s="63" t="s">
        <v>4551</v>
      </c>
      <c r="E858" s="63" t="s">
        <v>4552</v>
      </c>
      <c r="F858" s="63" t="s">
        <v>4553</v>
      </c>
      <c r="G858" s="63" t="s">
        <v>18</v>
      </c>
      <c r="H858" s="63" t="s">
        <v>18</v>
      </c>
      <c r="I858" s="63" t="s">
        <v>750</v>
      </c>
    </row>
    <row r="859" ht="11.25" customHeight="1">
      <c r="A859" s="63" t="s">
        <v>2167</v>
      </c>
      <c r="B859" s="63" t="s">
        <v>14</v>
      </c>
      <c r="C859" s="63" t="s">
        <v>4554</v>
      </c>
      <c r="D859" s="63" t="s">
        <v>4555</v>
      </c>
      <c r="E859" s="63" t="s">
        <v>4556</v>
      </c>
      <c r="F859" s="63" t="s">
        <v>2413</v>
      </c>
      <c r="G859" s="63" t="s">
        <v>4557</v>
      </c>
      <c r="H859" s="63" t="s">
        <v>18</v>
      </c>
      <c r="I859" s="63" t="s">
        <v>750</v>
      </c>
    </row>
    <row r="860" ht="11.25" customHeight="1">
      <c r="A860" s="63" t="s">
        <v>2167</v>
      </c>
      <c r="B860" s="63" t="s">
        <v>14</v>
      </c>
      <c r="C860" s="63" t="s">
        <v>4558</v>
      </c>
      <c r="D860" s="63" t="s">
        <v>4559</v>
      </c>
      <c r="E860" s="63" t="s">
        <v>4560</v>
      </c>
      <c r="F860" s="63" t="s">
        <v>2645</v>
      </c>
      <c r="G860" s="63" t="s">
        <v>3691</v>
      </c>
      <c r="H860" s="63" t="s">
        <v>18</v>
      </c>
      <c r="I860" s="63" t="s">
        <v>750</v>
      </c>
    </row>
    <row r="861" ht="11.25" customHeight="1">
      <c r="A861" s="63" t="s">
        <v>2167</v>
      </c>
      <c r="B861" s="63" t="s">
        <v>14</v>
      </c>
      <c r="C861" s="63" t="s">
        <v>3276</v>
      </c>
      <c r="D861" s="63" t="s">
        <v>3277</v>
      </c>
      <c r="E861" s="63" t="s">
        <v>3278</v>
      </c>
      <c r="F861" s="63" t="s">
        <v>3279</v>
      </c>
      <c r="G861" s="63" t="s">
        <v>18</v>
      </c>
      <c r="H861" s="63" t="s">
        <v>18</v>
      </c>
      <c r="I861" s="63" t="s">
        <v>750</v>
      </c>
    </row>
    <row r="862" ht="11.25" customHeight="1">
      <c r="A862" s="63" t="s">
        <v>2167</v>
      </c>
      <c r="B862" s="63" t="s">
        <v>14</v>
      </c>
      <c r="C862" s="63" t="s">
        <v>3280</v>
      </c>
      <c r="D862" s="63" t="s">
        <v>3281</v>
      </c>
      <c r="E862" s="63" t="s">
        <v>3282</v>
      </c>
      <c r="F862" s="63" t="s">
        <v>3283</v>
      </c>
      <c r="G862" s="63" t="s">
        <v>3284</v>
      </c>
      <c r="H862" s="63" t="s">
        <v>18</v>
      </c>
      <c r="I862" s="63" t="s">
        <v>750</v>
      </c>
    </row>
    <row r="863" ht="11.25" customHeight="1">
      <c r="A863" s="63" t="s">
        <v>2167</v>
      </c>
      <c r="B863" s="63" t="s">
        <v>14</v>
      </c>
      <c r="C863" s="63" t="s">
        <v>3297</v>
      </c>
      <c r="D863" s="63" t="s">
        <v>3298</v>
      </c>
      <c r="E863" s="63" t="s">
        <v>3299</v>
      </c>
      <c r="F863" s="63" t="s">
        <v>2311</v>
      </c>
      <c r="G863" s="63" t="s">
        <v>3300</v>
      </c>
      <c r="H863" s="63" t="s">
        <v>18</v>
      </c>
      <c r="I863" s="63" t="s">
        <v>750</v>
      </c>
    </row>
    <row r="864" ht="11.25" customHeight="1">
      <c r="A864" s="63" t="s">
        <v>2167</v>
      </c>
      <c r="B864" s="63" t="s">
        <v>14</v>
      </c>
      <c r="C864" s="63" t="s">
        <v>3301</v>
      </c>
      <c r="D864" s="63" t="s">
        <v>3302</v>
      </c>
      <c r="E864" s="63" t="s">
        <v>3303</v>
      </c>
      <c r="F864" s="63" t="s">
        <v>2218</v>
      </c>
      <c r="G864" s="63" t="s">
        <v>3304</v>
      </c>
      <c r="H864" s="63" t="s">
        <v>18</v>
      </c>
      <c r="I864" s="63" t="s">
        <v>750</v>
      </c>
    </row>
    <row r="865" ht="11.25" customHeight="1">
      <c r="A865" s="63" t="s">
        <v>2167</v>
      </c>
      <c r="B865" s="63" t="s">
        <v>14</v>
      </c>
      <c r="C865" s="63" t="s">
        <v>4561</v>
      </c>
      <c r="D865" s="63" t="s">
        <v>4562</v>
      </c>
      <c r="E865" s="63" t="s">
        <v>4563</v>
      </c>
      <c r="F865" s="63" t="s">
        <v>2218</v>
      </c>
      <c r="G865" s="63" t="s">
        <v>4564</v>
      </c>
      <c r="H865" s="63" t="s">
        <v>18</v>
      </c>
      <c r="I865" s="63" t="s">
        <v>750</v>
      </c>
    </row>
    <row r="866" ht="11.25" customHeight="1">
      <c r="A866" s="63" t="s">
        <v>2167</v>
      </c>
      <c r="B866" s="63" t="s">
        <v>14</v>
      </c>
      <c r="C866" s="63" t="s">
        <v>3305</v>
      </c>
      <c r="D866" s="63" t="s">
        <v>3306</v>
      </c>
      <c r="E866" s="63" t="s">
        <v>3307</v>
      </c>
      <c r="F866" s="63" t="s">
        <v>2311</v>
      </c>
      <c r="G866" s="63" t="s">
        <v>2385</v>
      </c>
      <c r="H866" s="63" t="s">
        <v>18</v>
      </c>
      <c r="I866" s="63" t="s">
        <v>750</v>
      </c>
    </row>
    <row r="867" ht="11.25" customHeight="1">
      <c r="A867" s="63" t="s">
        <v>2167</v>
      </c>
      <c r="B867" s="63" t="s">
        <v>14</v>
      </c>
      <c r="C867" s="63" t="s">
        <v>3308</v>
      </c>
      <c r="D867" s="63" t="s">
        <v>3309</v>
      </c>
      <c r="E867" s="63" t="s">
        <v>3310</v>
      </c>
      <c r="F867" s="63" t="s">
        <v>2218</v>
      </c>
      <c r="G867" s="63" t="s">
        <v>18</v>
      </c>
      <c r="H867" s="63" t="s">
        <v>18</v>
      </c>
      <c r="I867" s="63" t="s">
        <v>750</v>
      </c>
    </row>
    <row r="868" ht="11.25" customHeight="1">
      <c r="A868" s="63" t="s">
        <v>2167</v>
      </c>
      <c r="B868" s="63" t="s">
        <v>14</v>
      </c>
      <c r="C868" s="63" t="s">
        <v>3320</v>
      </c>
      <c r="D868" s="63" t="s">
        <v>3321</v>
      </c>
      <c r="E868" s="63" t="s">
        <v>3322</v>
      </c>
      <c r="F868" s="63" t="s">
        <v>3323</v>
      </c>
      <c r="G868" s="63" t="s">
        <v>18</v>
      </c>
      <c r="H868" s="63" t="s">
        <v>18</v>
      </c>
      <c r="I868" s="63" t="s">
        <v>750</v>
      </c>
    </row>
    <row r="869" ht="11.25" customHeight="1">
      <c r="A869" s="63" t="s">
        <v>2167</v>
      </c>
      <c r="B869" s="63" t="s">
        <v>14</v>
      </c>
      <c r="C869" s="63" t="s">
        <v>4565</v>
      </c>
      <c r="D869" s="63" t="s">
        <v>4566</v>
      </c>
      <c r="E869" s="63" t="s">
        <v>4567</v>
      </c>
      <c r="F869" s="63" t="s">
        <v>2598</v>
      </c>
      <c r="G869" s="63" t="s">
        <v>18</v>
      </c>
      <c r="H869" s="63" t="s">
        <v>18</v>
      </c>
      <c r="I869" s="63" t="s">
        <v>750</v>
      </c>
    </row>
    <row r="870" ht="11.25" customHeight="1">
      <c r="A870" s="63" t="s">
        <v>2167</v>
      </c>
      <c r="B870" s="63" t="s">
        <v>14</v>
      </c>
      <c r="C870" s="63" t="s">
        <v>4568</v>
      </c>
      <c r="D870" s="63" t="s">
        <v>4569</v>
      </c>
      <c r="E870" s="63" t="s">
        <v>4570</v>
      </c>
      <c r="F870" s="63" t="s">
        <v>3055</v>
      </c>
      <c r="G870" s="63" t="s">
        <v>4571</v>
      </c>
      <c r="H870" s="63" t="s">
        <v>18</v>
      </c>
      <c r="I870" s="63" t="s">
        <v>750</v>
      </c>
    </row>
    <row r="871" ht="11.25" customHeight="1">
      <c r="A871" s="63" t="s">
        <v>2167</v>
      </c>
      <c r="B871" s="63" t="s">
        <v>14</v>
      </c>
      <c r="C871" s="63" t="s">
        <v>3339</v>
      </c>
      <c r="D871" s="63" t="s">
        <v>3340</v>
      </c>
      <c r="E871" s="63" t="s">
        <v>3341</v>
      </c>
      <c r="F871" s="63" t="s">
        <v>2218</v>
      </c>
      <c r="G871" s="63" t="s">
        <v>3342</v>
      </c>
      <c r="H871" s="63" t="s">
        <v>18</v>
      </c>
      <c r="I871" s="63" t="s">
        <v>750</v>
      </c>
    </row>
    <row r="872" ht="11.25" customHeight="1">
      <c r="A872" s="63" t="s">
        <v>2167</v>
      </c>
      <c r="B872" s="63" t="s">
        <v>14</v>
      </c>
      <c r="C872" s="63" t="s">
        <v>4572</v>
      </c>
      <c r="D872" s="63" t="s">
        <v>4573</v>
      </c>
      <c r="E872" s="63" t="s">
        <v>4574</v>
      </c>
      <c r="F872" s="63" t="s">
        <v>3055</v>
      </c>
      <c r="G872" s="63" t="s">
        <v>4575</v>
      </c>
      <c r="H872" s="63" t="s">
        <v>18</v>
      </c>
      <c r="I872" s="63" t="s">
        <v>750</v>
      </c>
    </row>
    <row r="873" ht="11.25" customHeight="1">
      <c r="A873" s="63" t="s">
        <v>2167</v>
      </c>
      <c r="B873" s="63" t="s">
        <v>14</v>
      </c>
      <c r="C873" s="63" t="s">
        <v>4576</v>
      </c>
      <c r="D873" s="63" t="s">
        <v>4577</v>
      </c>
      <c r="E873" s="63" t="s">
        <v>4578</v>
      </c>
      <c r="F873" s="63" t="s">
        <v>2269</v>
      </c>
      <c r="G873" s="63" t="s">
        <v>18</v>
      </c>
      <c r="H873" s="63" t="s">
        <v>18</v>
      </c>
      <c r="I873" s="63" t="s">
        <v>750</v>
      </c>
    </row>
    <row r="874" ht="11.25" customHeight="1">
      <c r="A874" s="63" t="s">
        <v>2167</v>
      </c>
      <c r="B874" s="63" t="s">
        <v>14</v>
      </c>
      <c r="C874" s="63" t="s">
        <v>3350</v>
      </c>
      <c r="D874" s="63" t="s">
        <v>3351</v>
      </c>
      <c r="E874" s="63" t="s">
        <v>3352</v>
      </c>
      <c r="F874" s="63" t="s">
        <v>2269</v>
      </c>
      <c r="G874" s="63" t="s">
        <v>18</v>
      </c>
      <c r="H874" s="63" t="s">
        <v>18</v>
      </c>
      <c r="I874" s="63" t="s">
        <v>750</v>
      </c>
    </row>
    <row r="875" ht="11.25" customHeight="1">
      <c r="A875" s="63" t="s">
        <v>2167</v>
      </c>
      <c r="B875" s="63" t="s">
        <v>14</v>
      </c>
      <c r="C875" s="63" t="s">
        <v>3359</v>
      </c>
      <c r="D875" s="63" t="s">
        <v>3360</v>
      </c>
      <c r="E875" s="63" t="s">
        <v>3361</v>
      </c>
      <c r="F875" s="63" t="s">
        <v>2311</v>
      </c>
      <c r="G875" s="63" t="s">
        <v>3362</v>
      </c>
      <c r="H875" s="63" t="s">
        <v>18</v>
      </c>
      <c r="I875" s="63" t="s">
        <v>750</v>
      </c>
    </row>
    <row r="876" ht="11.25" customHeight="1">
      <c r="A876" s="63" t="s">
        <v>2167</v>
      </c>
      <c r="B876" s="63" t="s">
        <v>14</v>
      </c>
      <c r="C876" s="63" t="s">
        <v>4579</v>
      </c>
      <c r="D876" s="63" t="s">
        <v>4580</v>
      </c>
      <c r="E876" s="63" t="s">
        <v>4552</v>
      </c>
      <c r="F876" s="63" t="s">
        <v>4581</v>
      </c>
      <c r="G876" s="63" t="s">
        <v>18</v>
      </c>
      <c r="H876" s="63" t="s">
        <v>18</v>
      </c>
      <c r="I876" s="63" t="s">
        <v>750</v>
      </c>
    </row>
    <row r="877" ht="11.25" customHeight="1">
      <c r="A877" s="63" t="s">
        <v>2167</v>
      </c>
      <c r="B877" s="63" t="s">
        <v>14</v>
      </c>
      <c r="C877" s="63" t="s">
        <v>4582</v>
      </c>
      <c r="D877" s="63" t="s">
        <v>4583</v>
      </c>
      <c r="E877" s="63" t="s">
        <v>4552</v>
      </c>
      <c r="F877" s="63" t="s">
        <v>4584</v>
      </c>
      <c r="G877" s="63" t="s">
        <v>18</v>
      </c>
      <c r="H877" s="63" t="s">
        <v>18</v>
      </c>
      <c r="I877" s="63" t="s">
        <v>750</v>
      </c>
    </row>
    <row r="878" ht="11.25" customHeight="1">
      <c r="A878" s="63" t="s">
        <v>2167</v>
      </c>
      <c r="B878" s="63" t="s">
        <v>14</v>
      </c>
      <c r="C878" s="63" t="s">
        <v>3394</v>
      </c>
      <c r="D878" s="63" t="s">
        <v>3395</v>
      </c>
      <c r="E878" s="63" t="s">
        <v>2325</v>
      </c>
      <c r="F878" s="63" t="s">
        <v>2598</v>
      </c>
      <c r="G878" s="63" t="s">
        <v>18</v>
      </c>
      <c r="H878" s="63" t="s">
        <v>18</v>
      </c>
      <c r="I878" s="63" t="s">
        <v>750</v>
      </c>
    </row>
    <row r="879" ht="11.25" customHeight="1">
      <c r="A879" s="63" t="s">
        <v>2167</v>
      </c>
      <c r="B879" s="63" t="s">
        <v>14</v>
      </c>
      <c r="C879" s="63" t="s">
        <v>3396</v>
      </c>
      <c r="D879" s="63" t="s">
        <v>3397</v>
      </c>
      <c r="E879" s="63" t="s">
        <v>2325</v>
      </c>
      <c r="F879" s="63" t="s">
        <v>3398</v>
      </c>
      <c r="G879" s="63" t="s">
        <v>18</v>
      </c>
      <c r="H879" s="63" t="s">
        <v>18</v>
      </c>
      <c r="I879" s="63" t="s">
        <v>750</v>
      </c>
    </row>
    <row r="880" ht="11.25" customHeight="1">
      <c r="A880" s="63" t="s">
        <v>2167</v>
      </c>
      <c r="B880" s="63" t="s">
        <v>14</v>
      </c>
      <c r="C880" s="63" t="s">
        <v>3414</v>
      </c>
      <c r="D880" s="63" t="s">
        <v>3415</v>
      </c>
      <c r="E880" s="63" t="s">
        <v>3416</v>
      </c>
      <c r="F880" s="63" t="s">
        <v>3417</v>
      </c>
      <c r="G880" s="63" t="s">
        <v>18</v>
      </c>
      <c r="H880" s="63" t="s">
        <v>18</v>
      </c>
      <c r="I880" s="63" t="s">
        <v>750</v>
      </c>
    </row>
    <row r="881" ht="11.25" customHeight="1">
      <c r="A881" s="63" t="s">
        <v>2167</v>
      </c>
      <c r="B881" s="63" t="s">
        <v>14</v>
      </c>
      <c r="C881" s="63" t="s">
        <v>4585</v>
      </c>
      <c r="D881" s="63" t="s">
        <v>4586</v>
      </c>
      <c r="E881" s="63" t="s">
        <v>4587</v>
      </c>
      <c r="F881" s="63" t="s">
        <v>4588</v>
      </c>
      <c r="G881" s="63" t="s">
        <v>4589</v>
      </c>
      <c r="H881" s="63" t="s">
        <v>18</v>
      </c>
      <c r="I881" s="63" t="s">
        <v>750</v>
      </c>
    </row>
    <row r="882" ht="11.25" customHeight="1">
      <c r="A882" s="63" t="s">
        <v>2167</v>
      </c>
      <c r="B882" s="63" t="s">
        <v>14</v>
      </c>
      <c r="C882" s="63" t="s">
        <v>3452</v>
      </c>
      <c r="D882" s="63" t="s">
        <v>3453</v>
      </c>
      <c r="E882" s="63" t="s">
        <v>3454</v>
      </c>
      <c r="F882" s="63" t="s">
        <v>2180</v>
      </c>
      <c r="G882" s="63" t="s">
        <v>3455</v>
      </c>
      <c r="H882" s="63" t="s">
        <v>18</v>
      </c>
      <c r="I882" s="63" t="s">
        <v>802</v>
      </c>
    </row>
    <row r="883" ht="11.25" customHeight="1">
      <c r="A883" s="63" t="s">
        <v>2167</v>
      </c>
      <c r="B883" s="63" t="s">
        <v>14</v>
      </c>
      <c r="C883" s="63" t="s">
        <v>4590</v>
      </c>
      <c r="D883" s="63" t="s">
        <v>4591</v>
      </c>
      <c r="E883" s="63" t="s">
        <v>4592</v>
      </c>
      <c r="F883" s="63" t="s">
        <v>2176</v>
      </c>
      <c r="G883" s="63" t="s">
        <v>4593</v>
      </c>
      <c r="H883" s="63" t="s">
        <v>18</v>
      </c>
      <c r="I883" s="63" t="s">
        <v>802</v>
      </c>
    </row>
    <row r="884" ht="11.25" customHeight="1">
      <c r="A884" s="63" t="s">
        <v>2167</v>
      </c>
      <c r="B884" s="63" t="s">
        <v>14</v>
      </c>
      <c r="C884" s="63" t="s">
        <v>2168</v>
      </c>
      <c r="D884" s="63" t="s">
        <v>2169</v>
      </c>
      <c r="E884" s="63" t="s">
        <v>2170</v>
      </c>
      <c r="F884" s="63" t="s">
        <v>2171</v>
      </c>
      <c r="G884" s="63" t="s">
        <v>2172</v>
      </c>
      <c r="H884" s="63" t="s">
        <v>18</v>
      </c>
      <c r="I884" s="63" t="s">
        <v>802</v>
      </c>
    </row>
    <row r="885" ht="11.25" customHeight="1">
      <c r="A885" s="63" t="s">
        <v>2167</v>
      </c>
      <c r="B885" s="63" t="s">
        <v>14</v>
      </c>
      <c r="C885" s="63" t="s">
        <v>3460</v>
      </c>
      <c r="D885" s="63" t="s">
        <v>3461</v>
      </c>
      <c r="E885" s="63" t="s">
        <v>3462</v>
      </c>
      <c r="F885" s="63" t="s">
        <v>2190</v>
      </c>
      <c r="G885" s="63" t="s">
        <v>18</v>
      </c>
      <c r="H885" s="63" t="s">
        <v>18</v>
      </c>
      <c r="I885" s="63" t="s">
        <v>802</v>
      </c>
    </row>
    <row r="886" ht="11.25" customHeight="1">
      <c r="A886" s="63" t="s">
        <v>2167</v>
      </c>
      <c r="B886" s="63" t="s">
        <v>14</v>
      </c>
      <c r="C886" s="63" t="s">
        <v>3463</v>
      </c>
      <c r="D886" s="63" t="s">
        <v>3464</v>
      </c>
      <c r="E886" s="63" t="s">
        <v>3465</v>
      </c>
      <c r="F886" s="63" t="s">
        <v>3466</v>
      </c>
      <c r="G886" s="63" t="s">
        <v>3467</v>
      </c>
      <c r="H886" s="63" t="s">
        <v>18</v>
      </c>
      <c r="I886" s="63" t="s">
        <v>802</v>
      </c>
    </row>
    <row r="887" ht="11.25" customHeight="1">
      <c r="A887" s="63" t="s">
        <v>2167</v>
      </c>
      <c r="B887" s="63" t="s">
        <v>14</v>
      </c>
      <c r="C887" s="63" t="s">
        <v>2177</v>
      </c>
      <c r="D887" s="63" t="s">
        <v>2178</v>
      </c>
      <c r="E887" s="63" t="s">
        <v>2179</v>
      </c>
      <c r="F887" s="63" t="s">
        <v>2180</v>
      </c>
      <c r="G887" s="63" t="s">
        <v>2181</v>
      </c>
      <c r="H887" s="63" t="s">
        <v>18</v>
      </c>
      <c r="I887" s="63" t="s">
        <v>802</v>
      </c>
    </row>
    <row r="888" ht="11.25" customHeight="1">
      <c r="A888" s="63" t="s">
        <v>2167</v>
      </c>
      <c r="B888" s="63" t="s">
        <v>14</v>
      </c>
      <c r="C888" s="63" t="s">
        <v>4594</v>
      </c>
      <c r="D888" s="63" t="s">
        <v>4595</v>
      </c>
      <c r="E888" s="63" t="s">
        <v>4596</v>
      </c>
      <c r="F888" s="63" t="s">
        <v>3080</v>
      </c>
      <c r="G888" s="63" t="s">
        <v>18</v>
      </c>
      <c r="H888" s="63" t="s">
        <v>18</v>
      </c>
      <c r="I888" s="63" t="s">
        <v>802</v>
      </c>
    </row>
    <row r="889" ht="11.25" customHeight="1">
      <c r="A889" s="63" t="s">
        <v>2167</v>
      </c>
      <c r="B889" s="63" t="s">
        <v>14</v>
      </c>
      <c r="C889" s="63" t="s">
        <v>3468</v>
      </c>
      <c r="D889" s="63" t="s">
        <v>3469</v>
      </c>
      <c r="E889" s="63" t="s">
        <v>3470</v>
      </c>
      <c r="F889" s="63" t="s">
        <v>3062</v>
      </c>
      <c r="G889" s="63" t="s">
        <v>3471</v>
      </c>
      <c r="H889" s="63" t="s">
        <v>18</v>
      </c>
      <c r="I889" s="63" t="s">
        <v>802</v>
      </c>
    </row>
    <row r="890" ht="11.25" customHeight="1">
      <c r="A890" s="63" t="s">
        <v>2167</v>
      </c>
      <c r="B890" s="63" t="s">
        <v>14</v>
      </c>
      <c r="C890" s="63" t="s">
        <v>3472</v>
      </c>
      <c r="D890" s="63" t="s">
        <v>3473</v>
      </c>
      <c r="E890" s="63" t="s">
        <v>3474</v>
      </c>
      <c r="F890" s="63" t="s">
        <v>2269</v>
      </c>
      <c r="G890" s="63" t="s">
        <v>18</v>
      </c>
      <c r="H890" s="63" t="s">
        <v>18</v>
      </c>
      <c r="I890" s="63" t="s">
        <v>802</v>
      </c>
    </row>
    <row r="891" ht="11.25" customHeight="1">
      <c r="A891" s="63" t="s">
        <v>2167</v>
      </c>
      <c r="B891" s="63" t="s">
        <v>14</v>
      </c>
      <c r="C891" s="63" t="s">
        <v>4597</v>
      </c>
      <c r="D891" s="63" t="s">
        <v>4598</v>
      </c>
      <c r="E891" s="63" t="s">
        <v>4599</v>
      </c>
      <c r="F891" s="63" t="s">
        <v>2465</v>
      </c>
      <c r="G891" s="63" t="s">
        <v>4600</v>
      </c>
      <c r="H891" s="63" t="s">
        <v>18</v>
      </c>
      <c r="I891" s="63" t="s">
        <v>802</v>
      </c>
    </row>
    <row r="892" ht="11.25" customHeight="1">
      <c r="A892" s="63" t="s">
        <v>2167</v>
      </c>
      <c r="B892" s="63" t="s">
        <v>14</v>
      </c>
      <c r="C892" s="63" t="s">
        <v>2207</v>
      </c>
      <c r="D892" s="63" t="s">
        <v>2208</v>
      </c>
      <c r="E892" s="63" t="s">
        <v>2209</v>
      </c>
      <c r="F892" s="63" t="s">
        <v>2210</v>
      </c>
      <c r="G892" s="63" t="s">
        <v>18</v>
      </c>
      <c r="H892" s="63" t="s">
        <v>18</v>
      </c>
      <c r="I892" s="63" t="s">
        <v>802</v>
      </c>
    </row>
    <row r="893" ht="11.25" customHeight="1">
      <c r="A893" s="63" t="s">
        <v>2167</v>
      </c>
      <c r="B893" s="63" t="s">
        <v>14</v>
      </c>
      <c r="C893" s="63" t="s">
        <v>3479</v>
      </c>
      <c r="D893" s="63" t="s">
        <v>3480</v>
      </c>
      <c r="E893" s="63" t="s">
        <v>3481</v>
      </c>
      <c r="F893" s="63" t="s">
        <v>2218</v>
      </c>
      <c r="G893" s="63" t="s">
        <v>3482</v>
      </c>
      <c r="H893" s="63" t="s">
        <v>18</v>
      </c>
      <c r="I893" s="63" t="s">
        <v>802</v>
      </c>
    </row>
    <row r="894" ht="11.25" customHeight="1">
      <c r="A894" s="63" t="s">
        <v>2167</v>
      </c>
      <c r="B894" s="63" t="s">
        <v>14</v>
      </c>
      <c r="C894" s="63" t="s">
        <v>2226</v>
      </c>
      <c r="D894" s="63" t="s">
        <v>2227</v>
      </c>
      <c r="E894" s="63" t="s">
        <v>2228</v>
      </c>
      <c r="F894" s="63" t="s">
        <v>2171</v>
      </c>
      <c r="G894" s="63" t="s">
        <v>2229</v>
      </c>
      <c r="H894" s="63" t="s">
        <v>18</v>
      </c>
      <c r="I894" s="63" t="s">
        <v>802</v>
      </c>
    </row>
    <row r="895" ht="11.25" customHeight="1">
      <c r="A895" s="63" t="s">
        <v>2167</v>
      </c>
      <c r="B895" s="63" t="s">
        <v>14</v>
      </c>
      <c r="C895" s="63" t="s">
        <v>4601</v>
      </c>
      <c r="D895" s="63" t="s">
        <v>4602</v>
      </c>
      <c r="E895" s="63" t="s">
        <v>4603</v>
      </c>
      <c r="F895" s="63" t="s">
        <v>2611</v>
      </c>
      <c r="G895" s="63" t="s">
        <v>4604</v>
      </c>
      <c r="H895" s="63" t="s">
        <v>18</v>
      </c>
      <c r="I895" s="63" t="s">
        <v>802</v>
      </c>
    </row>
    <row r="896" ht="11.25" customHeight="1">
      <c r="A896" s="63" t="s">
        <v>2167</v>
      </c>
      <c r="B896" s="63" t="s">
        <v>14</v>
      </c>
      <c r="C896" s="63" t="s">
        <v>2237</v>
      </c>
      <c r="D896" s="63" t="s">
        <v>2238</v>
      </c>
      <c r="E896" s="63" t="s">
        <v>2239</v>
      </c>
      <c r="F896" s="63" t="s">
        <v>2240</v>
      </c>
      <c r="G896" s="63" t="s">
        <v>2241</v>
      </c>
      <c r="H896" s="63" t="s">
        <v>18</v>
      </c>
      <c r="I896" s="63" t="s">
        <v>802</v>
      </c>
    </row>
    <row r="897" ht="11.25" customHeight="1">
      <c r="A897" s="63" t="s">
        <v>2167</v>
      </c>
      <c r="B897" s="63" t="s">
        <v>14</v>
      </c>
      <c r="C897" s="63" t="s">
        <v>4605</v>
      </c>
      <c r="D897" s="63" t="s">
        <v>4606</v>
      </c>
      <c r="E897" s="63" t="s">
        <v>4607</v>
      </c>
      <c r="F897" s="63" t="s">
        <v>2269</v>
      </c>
      <c r="G897" s="63" t="s">
        <v>18</v>
      </c>
      <c r="H897" s="63" t="s">
        <v>18</v>
      </c>
      <c r="I897" s="63" t="s">
        <v>802</v>
      </c>
    </row>
    <row r="898" ht="11.25" customHeight="1">
      <c r="A898" s="63" t="s">
        <v>2167</v>
      </c>
      <c r="B898" s="63" t="s">
        <v>14</v>
      </c>
      <c r="C898" s="63" t="s">
        <v>2257</v>
      </c>
      <c r="D898" s="63" t="s">
        <v>2258</v>
      </c>
      <c r="E898" s="63" t="s">
        <v>2259</v>
      </c>
      <c r="F898" s="63" t="s">
        <v>2260</v>
      </c>
      <c r="G898" s="63" t="s">
        <v>2261</v>
      </c>
      <c r="H898" s="63" t="s">
        <v>18</v>
      </c>
      <c r="I898" s="63" t="s">
        <v>802</v>
      </c>
    </row>
    <row r="899" ht="11.25" customHeight="1">
      <c r="A899" s="63" t="s">
        <v>2167</v>
      </c>
      <c r="B899" s="63" t="s">
        <v>14</v>
      </c>
      <c r="C899" s="63" t="s">
        <v>3493</v>
      </c>
      <c r="D899" s="63" t="s">
        <v>3494</v>
      </c>
      <c r="E899" s="63" t="s">
        <v>3495</v>
      </c>
      <c r="F899" s="63" t="s">
        <v>3496</v>
      </c>
      <c r="G899" s="63" t="s">
        <v>3497</v>
      </c>
      <c r="H899" s="63" t="s">
        <v>18</v>
      </c>
      <c r="I899" s="63" t="s">
        <v>802</v>
      </c>
    </row>
    <row r="900" ht="11.25" customHeight="1">
      <c r="A900" s="63" t="s">
        <v>2167</v>
      </c>
      <c r="B900" s="63" t="s">
        <v>14</v>
      </c>
      <c r="C900" s="63" t="s">
        <v>2285</v>
      </c>
      <c r="D900" s="63" t="s">
        <v>2286</v>
      </c>
      <c r="E900" s="63" t="s">
        <v>2287</v>
      </c>
      <c r="F900" s="63" t="s">
        <v>2269</v>
      </c>
      <c r="G900" s="63" t="s">
        <v>18</v>
      </c>
      <c r="H900" s="63" t="s">
        <v>18</v>
      </c>
      <c r="I900" s="63" t="s">
        <v>802</v>
      </c>
    </row>
    <row r="901" ht="11.25" customHeight="1">
      <c r="A901" s="63" t="s">
        <v>2167</v>
      </c>
      <c r="B901" s="63" t="s">
        <v>14</v>
      </c>
      <c r="C901" s="63" t="s">
        <v>4608</v>
      </c>
      <c r="D901" s="63" t="s">
        <v>4609</v>
      </c>
      <c r="E901" s="63" t="s">
        <v>4610</v>
      </c>
      <c r="F901" s="63" t="s">
        <v>3496</v>
      </c>
      <c r="G901" s="63" t="s">
        <v>4611</v>
      </c>
      <c r="H901" s="63" t="s">
        <v>18</v>
      </c>
      <c r="I901" s="63" t="s">
        <v>802</v>
      </c>
    </row>
    <row r="902" ht="11.25" customHeight="1">
      <c r="A902" s="63" t="s">
        <v>2167</v>
      </c>
      <c r="B902" s="63" t="s">
        <v>14</v>
      </c>
      <c r="C902" s="63" t="s">
        <v>3507</v>
      </c>
      <c r="D902" s="63" t="s">
        <v>3508</v>
      </c>
      <c r="E902" s="63" t="s">
        <v>3509</v>
      </c>
      <c r="F902" s="63" t="s">
        <v>3510</v>
      </c>
      <c r="G902" s="63" t="s">
        <v>18</v>
      </c>
      <c r="H902" s="63" t="s">
        <v>18</v>
      </c>
      <c r="I902" s="63" t="s">
        <v>802</v>
      </c>
    </row>
    <row r="903" ht="11.25" customHeight="1">
      <c r="A903" s="63" t="s">
        <v>2167</v>
      </c>
      <c r="B903" s="63" t="s">
        <v>14</v>
      </c>
      <c r="C903" s="63" t="s">
        <v>2323</v>
      </c>
      <c r="D903" s="63" t="s">
        <v>2324</v>
      </c>
      <c r="E903" s="63" t="s">
        <v>2325</v>
      </c>
      <c r="F903" s="63" t="s">
        <v>2214</v>
      </c>
      <c r="G903" s="63" t="s">
        <v>18</v>
      </c>
      <c r="H903" s="63" t="s">
        <v>18</v>
      </c>
      <c r="I903" s="63" t="s">
        <v>802</v>
      </c>
    </row>
    <row r="904" ht="11.25" customHeight="1">
      <c r="A904" s="63" t="s">
        <v>2167</v>
      </c>
      <c r="B904" s="63" t="s">
        <v>14</v>
      </c>
      <c r="C904" s="63" t="s">
        <v>3514</v>
      </c>
      <c r="D904" s="63" t="s">
        <v>3515</v>
      </c>
      <c r="E904" s="63" t="s">
        <v>3516</v>
      </c>
      <c r="F904" s="63" t="s">
        <v>2307</v>
      </c>
      <c r="G904" s="63" t="s">
        <v>3517</v>
      </c>
      <c r="H904" s="63" t="s">
        <v>18</v>
      </c>
      <c r="I904" s="63" t="s">
        <v>802</v>
      </c>
    </row>
    <row r="905" ht="11.25" customHeight="1">
      <c r="A905" s="63" t="s">
        <v>2167</v>
      </c>
      <c r="B905" s="63" t="s">
        <v>14</v>
      </c>
      <c r="C905" s="63" t="s">
        <v>2329</v>
      </c>
      <c r="D905" s="63" t="s">
        <v>2330</v>
      </c>
      <c r="E905" s="63" t="s">
        <v>2331</v>
      </c>
      <c r="F905" s="63" t="s">
        <v>2203</v>
      </c>
      <c r="G905" s="63" t="s">
        <v>18</v>
      </c>
      <c r="H905" s="63" t="s">
        <v>18</v>
      </c>
      <c r="I905" s="63" t="s">
        <v>802</v>
      </c>
    </row>
    <row r="906" ht="11.25" customHeight="1">
      <c r="A906" s="63" t="s">
        <v>2167</v>
      </c>
      <c r="B906" s="63" t="s">
        <v>14</v>
      </c>
      <c r="C906" s="63" t="s">
        <v>2339</v>
      </c>
      <c r="D906" s="63" t="s">
        <v>2340</v>
      </c>
      <c r="E906" s="63" t="s">
        <v>2341</v>
      </c>
      <c r="F906" s="63" t="s">
        <v>2180</v>
      </c>
      <c r="G906" s="63" t="s">
        <v>2342</v>
      </c>
      <c r="H906" s="63" t="s">
        <v>18</v>
      </c>
      <c r="I906" s="63" t="s">
        <v>802</v>
      </c>
    </row>
    <row r="907" ht="11.25" customHeight="1">
      <c r="A907" s="63" t="s">
        <v>2167</v>
      </c>
      <c r="B907" s="63" t="s">
        <v>14</v>
      </c>
      <c r="C907" s="63" t="s">
        <v>3521</v>
      </c>
      <c r="D907" s="63" t="s">
        <v>3522</v>
      </c>
      <c r="E907" s="63" t="s">
        <v>3523</v>
      </c>
      <c r="F907" s="63" t="s">
        <v>3524</v>
      </c>
      <c r="G907" s="63" t="s">
        <v>3525</v>
      </c>
      <c r="H907" s="63" t="s">
        <v>18</v>
      </c>
      <c r="I907" s="63" t="s">
        <v>802</v>
      </c>
    </row>
    <row r="908" ht="11.25" customHeight="1">
      <c r="A908" s="63" t="s">
        <v>2167</v>
      </c>
      <c r="B908" s="63" t="s">
        <v>14</v>
      </c>
      <c r="C908" s="63" t="s">
        <v>3526</v>
      </c>
      <c r="D908" s="63" t="s">
        <v>3527</v>
      </c>
      <c r="E908" s="63" t="s">
        <v>3528</v>
      </c>
      <c r="F908" s="63" t="s">
        <v>2593</v>
      </c>
      <c r="G908" s="63" t="s">
        <v>3529</v>
      </c>
      <c r="H908" s="63" t="s">
        <v>18</v>
      </c>
      <c r="I908" s="63" t="s">
        <v>802</v>
      </c>
    </row>
    <row r="909" ht="11.25" customHeight="1">
      <c r="A909" s="63" t="s">
        <v>2167</v>
      </c>
      <c r="B909" s="63" t="s">
        <v>14</v>
      </c>
      <c r="C909" s="63" t="s">
        <v>3530</v>
      </c>
      <c r="D909" s="63" t="s">
        <v>3531</v>
      </c>
      <c r="E909" s="63" t="s">
        <v>3532</v>
      </c>
      <c r="F909" s="63" t="s">
        <v>2180</v>
      </c>
      <c r="G909" s="63" t="s">
        <v>3455</v>
      </c>
      <c r="H909" s="63" t="s">
        <v>18</v>
      </c>
      <c r="I909" s="63" t="s">
        <v>802</v>
      </c>
    </row>
    <row r="910" ht="11.25" customHeight="1">
      <c r="A910" s="63" t="s">
        <v>2167</v>
      </c>
      <c r="B910" s="63" t="s">
        <v>14</v>
      </c>
      <c r="C910" s="63" t="s">
        <v>2355</v>
      </c>
      <c r="D910" s="63" t="s">
        <v>2356</v>
      </c>
      <c r="E910" s="63" t="s">
        <v>2357</v>
      </c>
      <c r="F910" s="63" t="s">
        <v>2358</v>
      </c>
      <c r="G910" s="63" t="s">
        <v>2359</v>
      </c>
      <c r="H910" s="63" t="s">
        <v>18</v>
      </c>
      <c r="I910" s="63" t="s">
        <v>802</v>
      </c>
    </row>
    <row r="911" ht="11.25" customHeight="1">
      <c r="A911" s="63" t="s">
        <v>2167</v>
      </c>
      <c r="B911" s="63" t="s">
        <v>14</v>
      </c>
      <c r="C911" s="63" t="s">
        <v>3533</v>
      </c>
      <c r="D911" s="63" t="s">
        <v>3534</v>
      </c>
      <c r="E911" s="63" t="s">
        <v>3535</v>
      </c>
      <c r="F911" s="63" t="s">
        <v>2180</v>
      </c>
      <c r="G911" s="63" t="s">
        <v>3455</v>
      </c>
      <c r="H911" s="63" t="s">
        <v>18</v>
      </c>
      <c r="I911" s="63" t="s">
        <v>802</v>
      </c>
    </row>
    <row r="912" ht="11.25" customHeight="1">
      <c r="A912" s="63" t="s">
        <v>2167</v>
      </c>
      <c r="B912" s="63" t="s">
        <v>14</v>
      </c>
      <c r="C912" s="63" t="s">
        <v>4612</v>
      </c>
      <c r="D912" s="63" t="s">
        <v>4613</v>
      </c>
      <c r="E912" s="63" t="s">
        <v>4614</v>
      </c>
      <c r="F912" s="63" t="s">
        <v>2502</v>
      </c>
      <c r="G912" s="63" t="s">
        <v>18</v>
      </c>
      <c r="H912" s="63" t="s">
        <v>18</v>
      </c>
      <c r="I912" s="63" t="s">
        <v>802</v>
      </c>
    </row>
    <row r="913" ht="11.25" customHeight="1">
      <c r="A913" s="63" t="s">
        <v>2167</v>
      </c>
      <c r="B913" s="63" t="s">
        <v>14</v>
      </c>
      <c r="C913" s="63" t="s">
        <v>3540</v>
      </c>
      <c r="D913" s="63" t="s">
        <v>3541</v>
      </c>
      <c r="E913" s="63" t="s">
        <v>3542</v>
      </c>
      <c r="F913" s="63" t="s">
        <v>2218</v>
      </c>
      <c r="G913" s="63" t="s">
        <v>3543</v>
      </c>
      <c r="H913" s="63" t="s">
        <v>18</v>
      </c>
      <c r="I913" s="63" t="s">
        <v>802</v>
      </c>
    </row>
    <row r="914" ht="11.25" customHeight="1">
      <c r="A914" s="63" t="s">
        <v>2167</v>
      </c>
      <c r="B914" s="63" t="s">
        <v>14</v>
      </c>
      <c r="C914" s="63" t="s">
        <v>2382</v>
      </c>
      <c r="D914" s="63" t="s">
        <v>2383</v>
      </c>
      <c r="E914" s="63" t="s">
        <v>2384</v>
      </c>
      <c r="F914" s="63" t="s">
        <v>2380</v>
      </c>
      <c r="G914" s="63" t="s">
        <v>2385</v>
      </c>
      <c r="H914" s="63" t="s">
        <v>18</v>
      </c>
      <c r="I914" s="63" t="s">
        <v>802</v>
      </c>
    </row>
    <row r="915" ht="11.25" customHeight="1">
      <c r="A915" s="63" t="s">
        <v>2167</v>
      </c>
      <c r="B915" s="63" t="s">
        <v>14</v>
      </c>
      <c r="C915" s="63" t="s">
        <v>3544</v>
      </c>
      <c r="D915" s="63" t="s">
        <v>3545</v>
      </c>
      <c r="E915" s="63" t="s">
        <v>3546</v>
      </c>
      <c r="F915" s="63" t="s">
        <v>2218</v>
      </c>
      <c r="G915" s="63" t="s">
        <v>3547</v>
      </c>
      <c r="H915" s="63" t="s">
        <v>18</v>
      </c>
      <c r="I915" s="63" t="s">
        <v>802</v>
      </c>
    </row>
    <row r="916" ht="11.25" customHeight="1">
      <c r="A916" s="63" t="s">
        <v>2167</v>
      </c>
      <c r="B916" s="63" t="s">
        <v>14</v>
      </c>
      <c r="C916" s="63" t="s">
        <v>3548</v>
      </c>
      <c r="D916" s="63" t="s">
        <v>3549</v>
      </c>
      <c r="E916" s="63" t="s">
        <v>3550</v>
      </c>
      <c r="F916" s="63" t="s">
        <v>2256</v>
      </c>
      <c r="G916" s="63" t="s">
        <v>18</v>
      </c>
      <c r="H916" s="63" t="s">
        <v>18</v>
      </c>
      <c r="I916" s="63" t="s">
        <v>802</v>
      </c>
    </row>
    <row r="917" ht="11.25" customHeight="1">
      <c r="A917" s="63" t="s">
        <v>2167</v>
      </c>
      <c r="B917" s="63" t="s">
        <v>14</v>
      </c>
      <c r="C917" s="63" t="s">
        <v>4615</v>
      </c>
      <c r="D917" s="63" t="s">
        <v>4616</v>
      </c>
      <c r="E917" s="63" t="s">
        <v>4617</v>
      </c>
      <c r="F917" s="63" t="s">
        <v>2307</v>
      </c>
      <c r="G917" s="63" t="s">
        <v>4618</v>
      </c>
      <c r="H917" s="63" t="s">
        <v>18</v>
      </c>
      <c r="I917" s="63" t="s">
        <v>802</v>
      </c>
    </row>
    <row r="918" ht="11.25" customHeight="1">
      <c r="A918" s="63" t="s">
        <v>2167</v>
      </c>
      <c r="B918" s="63" t="s">
        <v>14</v>
      </c>
      <c r="C918" s="63" t="s">
        <v>3561</v>
      </c>
      <c r="D918" s="63" t="s">
        <v>3562</v>
      </c>
      <c r="E918" s="63" t="s">
        <v>3563</v>
      </c>
      <c r="F918" s="63" t="s">
        <v>2307</v>
      </c>
      <c r="G918" s="63" t="s">
        <v>3564</v>
      </c>
      <c r="H918" s="63" t="s">
        <v>18</v>
      </c>
      <c r="I918" s="63" t="s">
        <v>802</v>
      </c>
    </row>
    <row r="919" ht="11.25" customHeight="1">
      <c r="A919" s="63" t="s">
        <v>2167</v>
      </c>
      <c r="B919" s="63" t="s">
        <v>14</v>
      </c>
      <c r="C919" s="63" t="s">
        <v>3572</v>
      </c>
      <c r="D919" s="63" t="s">
        <v>3573</v>
      </c>
      <c r="E919" s="63" t="s">
        <v>3574</v>
      </c>
      <c r="F919" s="63" t="s">
        <v>2598</v>
      </c>
      <c r="G919" s="63" t="s">
        <v>18</v>
      </c>
      <c r="H919" s="63" t="s">
        <v>18</v>
      </c>
      <c r="I919" s="63" t="s">
        <v>802</v>
      </c>
    </row>
    <row r="920" ht="11.25" customHeight="1">
      <c r="A920" s="63" t="s">
        <v>2167</v>
      </c>
      <c r="B920" s="63" t="s">
        <v>14</v>
      </c>
      <c r="C920" s="63" t="s">
        <v>3575</v>
      </c>
      <c r="D920" s="63" t="s">
        <v>3576</v>
      </c>
      <c r="E920" s="63" t="s">
        <v>3577</v>
      </c>
      <c r="F920" s="63" t="s">
        <v>3466</v>
      </c>
      <c r="G920" s="63" t="s">
        <v>3578</v>
      </c>
      <c r="H920" s="63" t="s">
        <v>18</v>
      </c>
      <c r="I920" s="63" t="s">
        <v>802</v>
      </c>
    </row>
    <row r="921" ht="11.25" customHeight="1">
      <c r="A921" s="63" t="s">
        <v>2167</v>
      </c>
      <c r="B921" s="63" t="s">
        <v>14</v>
      </c>
      <c r="C921" s="63" t="s">
        <v>2418</v>
      </c>
      <c r="D921" s="63" t="s">
        <v>2419</v>
      </c>
      <c r="E921" s="63" t="s">
        <v>2420</v>
      </c>
      <c r="F921" s="63" t="s">
        <v>2421</v>
      </c>
      <c r="G921" s="63" t="s">
        <v>2422</v>
      </c>
      <c r="H921" s="63" t="s">
        <v>18</v>
      </c>
      <c r="I921" s="63" t="s">
        <v>802</v>
      </c>
    </row>
    <row r="922" ht="11.25" customHeight="1">
      <c r="A922" s="63" t="s">
        <v>2167</v>
      </c>
      <c r="B922" s="63" t="s">
        <v>14</v>
      </c>
      <c r="C922" s="63" t="s">
        <v>4619</v>
      </c>
      <c r="D922" s="63" t="s">
        <v>4620</v>
      </c>
      <c r="E922" s="63" t="s">
        <v>4621</v>
      </c>
      <c r="F922" s="63" t="s">
        <v>3055</v>
      </c>
      <c r="G922" s="63" t="s">
        <v>18</v>
      </c>
      <c r="H922" s="63" t="s">
        <v>18</v>
      </c>
      <c r="I922" s="63" t="s">
        <v>802</v>
      </c>
    </row>
    <row r="923" ht="11.25" customHeight="1">
      <c r="A923" s="63" t="s">
        <v>2167</v>
      </c>
      <c r="B923" s="63" t="s">
        <v>14</v>
      </c>
      <c r="C923" s="63" t="s">
        <v>3585</v>
      </c>
      <c r="D923" s="63" t="s">
        <v>3586</v>
      </c>
      <c r="E923" s="63" t="s">
        <v>3587</v>
      </c>
      <c r="F923" s="63" t="s">
        <v>2245</v>
      </c>
      <c r="G923" s="63" t="s">
        <v>3588</v>
      </c>
      <c r="H923" s="63" t="s">
        <v>18</v>
      </c>
      <c r="I923" s="63" t="s">
        <v>802</v>
      </c>
    </row>
    <row r="924" ht="11.25" customHeight="1">
      <c r="A924" s="63" t="s">
        <v>2167</v>
      </c>
      <c r="B924" s="63" t="s">
        <v>14</v>
      </c>
      <c r="C924" s="63" t="s">
        <v>4622</v>
      </c>
      <c r="D924" s="63" t="s">
        <v>4623</v>
      </c>
      <c r="E924" s="63" t="s">
        <v>4624</v>
      </c>
      <c r="F924" s="63" t="s">
        <v>557</v>
      </c>
      <c r="G924" s="63" t="s">
        <v>4625</v>
      </c>
      <c r="H924" s="63" t="s">
        <v>18</v>
      </c>
      <c r="I924" s="63" t="s">
        <v>802</v>
      </c>
    </row>
    <row r="925" ht="11.25" customHeight="1">
      <c r="A925" s="63" t="s">
        <v>2167</v>
      </c>
      <c r="B925" s="63" t="s">
        <v>14</v>
      </c>
      <c r="C925" s="63" t="s">
        <v>4626</v>
      </c>
      <c r="D925" s="63" t="s">
        <v>4627</v>
      </c>
      <c r="E925" s="63" t="s">
        <v>4628</v>
      </c>
      <c r="F925" s="63" t="s">
        <v>557</v>
      </c>
      <c r="G925" s="63" t="s">
        <v>4629</v>
      </c>
      <c r="H925" s="63" t="s">
        <v>18</v>
      </c>
      <c r="I925" s="63" t="s">
        <v>802</v>
      </c>
    </row>
    <row r="926" ht="11.25" customHeight="1">
      <c r="A926" s="63" t="s">
        <v>2167</v>
      </c>
      <c r="B926" s="63" t="s">
        <v>14</v>
      </c>
      <c r="C926" s="63" t="s">
        <v>4630</v>
      </c>
      <c r="D926" s="63" t="s">
        <v>4631</v>
      </c>
      <c r="E926" s="63" t="s">
        <v>4632</v>
      </c>
      <c r="F926" s="63" t="s">
        <v>557</v>
      </c>
      <c r="G926" s="63" t="s">
        <v>4633</v>
      </c>
      <c r="H926" s="63" t="s">
        <v>18</v>
      </c>
      <c r="I926" s="63" t="s">
        <v>802</v>
      </c>
    </row>
    <row r="927" ht="11.25" customHeight="1">
      <c r="A927" s="63" t="s">
        <v>2167</v>
      </c>
      <c r="B927" s="63" t="s">
        <v>14</v>
      </c>
      <c r="C927" s="63" t="s">
        <v>4634</v>
      </c>
      <c r="D927" s="63" t="s">
        <v>4635</v>
      </c>
      <c r="E927" s="63" t="s">
        <v>4636</v>
      </c>
      <c r="F927" s="63" t="s">
        <v>557</v>
      </c>
      <c r="G927" s="63" t="s">
        <v>18</v>
      </c>
      <c r="H927" s="63" t="s">
        <v>18</v>
      </c>
      <c r="I927" s="63" t="s">
        <v>802</v>
      </c>
    </row>
    <row r="928" ht="11.25" customHeight="1">
      <c r="A928" s="63" t="s">
        <v>2167</v>
      </c>
      <c r="B928" s="63" t="s">
        <v>14</v>
      </c>
      <c r="C928" s="63" t="s">
        <v>3621</v>
      </c>
      <c r="D928" s="63" t="s">
        <v>3622</v>
      </c>
      <c r="E928" s="63" t="s">
        <v>3623</v>
      </c>
      <c r="F928" s="63" t="s">
        <v>2180</v>
      </c>
      <c r="G928" s="63" t="s">
        <v>3624</v>
      </c>
      <c r="H928" s="63" t="s">
        <v>18</v>
      </c>
      <c r="I928" s="63" t="s">
        <v>802</v>
      </c>
    </row>
    <row r="929" ht="11.25" customHeight="1">
      <c r="A929" s="63" t="s">
        <v>2167</v>
      </c>
      <c r="B929" s="63" t="s">
        <v>14</v>
      </c>
      <c r="C929" s="63" t="s">
        <v>3625</v>
      </c>
      <c r="D929" s="63" t="s">
        <v>3626</v>
      </c>
      <c r="E929" s="63" t="s">
        <v>3627</v>
      </c>
      <c r="F929" s="63" t="s">
        <v>3628</v>
      </c>
      <c r="G929" s="63" t="s">
        <v>18</v>
      </c>
      <c r="H929" s="63" t="s">
        <v>18</v>
      </c>
      <c r="I929" s="63" t="s">
        <v>802</v>
      </c>
    </row>
    <row r="930" ht="11.25" customHeight="1">
      <c r="A930" s="63" t="s">
        <v>2167</v>
      </c>
      <c r="B930" s="63" t="s">
        <v>14</v>
      </c>
      <c r="C930" s="63" t="s">
        <v>3629</v>
      </c>
      <c r="D930" s="63" t="s">
        <v>3630</v>
      </c>
      <c r="E930" s="63" t="s">
        <v>3631</v>
      </c>
      <c r="F930" s="63" t="s">
        <v>2180</v>
      </c>
      <c r="G930" s="63" t="s">
        <v>3455</v>
      </c>
      <c r="H930" s="63" t="s">
        <v>18</v>
      </c>
      <c r="I930" s="63" t="s">
        <v>802</v>
      </c>
    </row>
    <row r="931" ht="11.25" customHeight="1">
      <c r="A931" s="63" t="s">
        <v>2167</v>
      </c>
      <c r="B931" s="63" t="s">
        <v>14</v>
      </c>
      <c r="C931" s="63" t="s">
        <v>3632</v>
      </c>
      <c r="D931" s="63" t="s">
        <v>3633</v>
      </c>
      <c r="E931" s="63" t="s">
        <v>3634</v>
      </c>
      <c r="F931" s="63" t="s">
        <v>2622</v>
      </c>
      <c r="G931" s="63" t="s">
        <v>18</v>
      </c>
      <c r="H931" s="63" t="s">
        <v>18</v>
      </c>
      <c r="I931" s="63" t="s">
        <v>802</v>
      </c>
    </row>
    <row r="932" ht="11.25" customHeight="1">
      <c r="A932" s="63" t="s">
        <v>2167</v>
      </c>
      <c r="B932" s="63" t="s">
        <v>14</v>
      </c>
      <c r="C932" s="63" t="s">
        <v>3635</v>
      </c>
      <c r="D932" s="63" t="s">
        <v>3636</v>
      </c>
      <c r="E932" s="63" t="s">
        <v>3637</v>
      </c>
      <c r="F932" s="63" t="s">
        <v>2898</v>
      </c>
      <c r="G932" s="63" t="s">
        <v>3638</v>
      </c>
      <c r="H932" s="63" t="s">
        <v>18</v>
      </c>
      <c r="I932" s="63" t="s">
        <v>802</v>
      </c>
    </row>
    <row r="933" ht="11.25" customHeight="1">
      <c r="A933" s="63" t="s">
        <v>2167</v>
      </c>
      <c r="B933" s="63" t="s">
        <v>14</v>
      </c>
      <c r="C933" s="63" t="s">
        <v>4637</v>
      </c>
      <c r="D933" s="63" t="s">
        <v>4638</v>
      </c>
      <c r="E933" s="63" t="s">
        <v>4639</v>
      </c>
      <c r="F933" s="63" t="s">
        <v>3496</v>
      </c>
      <c r="G933" s="63" t="s">
        <v>4640</v>
      </c>
      <c r="H933" s="63" t="s">
        <v>18</v>
      </c>
      <c r="I933" s="63" t="s">
        <v>802</v>
      </c>
    </row>
    <row r="934" ht="11.25" customHeight="1">
      <c r="A934" s="63" t="s">
        <v>2167</v>
      </c>
      <c r="B934" s="63" t="s">
        <v>14</v>
      </c>
      <c r="C934" s="63" t="s">
        <v>3732</v>
      </c>
      <c r="D934" s="63" t="s">
        <v>3733</v>
      </c>
      <c r="E934" s="63" t="s">
        <v>3734</v>
      </c>
      <c r="F934" s="63" t="s">
        <v>2557</v>
      </c>
      <c r="G934" s="63" t="s">
        <v>3735</v>
      </c>
      <c r="H934" s="63" t="s">
        <v>18</v>
      </c>
      <c r="I934" s="63" t="s">
        <v>802</v>
      </c>
    </row>
    <row r="935" ht="11.25" customHeight="1">
      <c r="A935" s="63" t="s">
        <v>2167</v>
      </c>
      <c r="B935" s="63" t="s">
        <v>14</v>
      </c>
      <c r="C935" s="63" t="s">
        <v>3736</v>
      </c>
      <c r="D935" s="63" t="s">
        <v>3737</v>
      </c>
      <c r="E935" s="63" t="s">
        <v>3738</v>
      </c>
      <c r="F935" s="63" t="s">
        <v>2413</v>
      </c>
      <c r="G935" s="63" t="s">
        <v>3739</v>
      </c>
      <c r="H935" s="63" t="s">
        <v>18</v>
      </c>
      <c r="I935" s="63" t="s">
        <v>802</v>
      </c>
    </row>
    <row r="936" ht="11.25" customHeight="1">
      <c r="A936" s="63" t="s">
        <v>2167</v>
      </c>
      <c r="B936" s="63" t="s">
        <v>14</v>
      </c>
      <c r="C936" s="63" t="s">
        <v>2480</v>
      </c>
      <c r="D936" s="63" t="s">
        <v>2481</v>
      </c>
      <c r="E936" s="63" t="s">
        <v>2482</v>
      </c>
      <c r="F936" s="63" t="s">
        <v>2483</v>
      </c>
      <c r="G936" s="63" t="s">
        <v>18</v>
      </c>
      <c r="H936" s="63" t="s">
        <v>18</v>
      </c>
      <c r="I936" s="63" t="s">
        <v>802</v>
      </c>
    </row>
    <row r="937" ht="11.25" customHeight="1">
      <c r="A937" s="63" t="s">
        <v>2167</v>
      </c>
      <c r="B937" s="63" t="s">
        <v>14</v>
      </c>
      <c r="C937" s="63" t="s">
        <v>2487</v>
      </c>
      <c r="D937" s="63" t="s">
        <v>2488</v>
      </c>
      <c r="E937" s="63" t="s">
        <v>2489</v>
      </c>
      <c r="F937" s="63" t="s">
        <v>2203</v>
      </c>
      <c r="G937" s="63" t="s">
        <v>18</v>
      </c>
      <c r="H937" s="63" t="s">
        <v>18</v>
      </c>
      <c r="I937" s="63" t="s">
        <v>802</v>
      </c>
    </row>
    <row r="938" ht="11.25" customHeight="1">
      <c r="A938" s="63" t="s">
        <v>2167</v>
      </c>
      <c r="B938" s="63" t="s">
        <v>14</v>
      </c>
      <c r="C938" s="63" t="s">
        <v>2490</v>
      </c>
      <c r="D938" s="63" t="s">
        <v>2491</v>
      </c>
      <c r="E938" s="63" t="s">
        <v>2492</v>
      </c>
      <c r="F938" s="63" t="s">
        <v>2493</v>
      </c>
      <c r="G938" s="63" t="s">
        <v>18</v>
      </c>
      <c r="H938" s="63" t="s">
        <v>18</v>
      </c>
      <c r="I938" s="63" t="s">
        <v>802</v>
      </c>
    </row>
    <row r="939" ht="11.25" customHeight="1">
      <c r="A939" s="63" t="s">
        <v>2167</v>
      </c>
      <c r="B939" s="63" t="s">
        <v>14</v>
      </c>
      <c r="C939" s="63" t="s">
        <v>2499</v>
      </c>
      <c r="D939" s="63" t="s">
        <v>2500</v>
      </c>
      <c r="E939" s="63" t="s">
        <v>2501</v>
      </c>
      <c r="F939" s="63" t="s">
        <v>2502</v>
      </c>
      <c r="G939" s="63" t="s">
        <v>18</v>
      </c>
      <c r="H939" s="63" t="s">
        <v>18</v>
      </c>
      <c r="I939" s="63" t="s">
        <v>802</v>
      </c>
    </row>
    <row r="940" ht="11.25" customHeight="1">
      <c r="A940" s="63" t="s">
        <v>2167</v>
      </c>
      <c r="B940" s="63" t="s">
        <v>14</v>
      </c>
      <c r="C940" s="63" t="s">
        <v>3769</v>
      </c>
      <c r="D940" s="63" t="s">
        <v>3770</v>
      </c>
      <c r="E940" s="63" t="s">
        <v>3771</v>
      </c>
      <c r="F940" s="63" t="s">
        <v>2502</v>
      </c>
      <c r="G940" s="63" t="s">
        <v>18</v>
      </c>
      <c r="H940" s="63" t="s">
        <v>18</v>
      </c>
      <c r="I940" s="63" t="s">
        <v>802</v>
      </c>
    </row>
    <row r="941" ht="11.25" customHeight="1">
      <c r="A941" s="63" t="s">
        <v>2167</v>
      </c>
      <c r="B941" s="63" t="s">
        <v>14</v>
      </c>
      <c r="C941" s="63" t="s">
        <v>3772</v>
      </c>
      <c r="D941" s="63" t="s">
        <v>3773</v>
      </c>
      <c r="E941" s="63" t="s">
        <v>3774</v>
      </c>
      <c r="F941" s="63" t="s">
        <v>2180</v>
      </c>
      <c r="G941" s="63" t="s">
        <v>3455</v>
      </c>
      <c r="H941" s="63" t="s">
        <v>18</v>
      </c>
      <c r="I941" s="63" t="s">
        <v>802</v>
      </c>
    </row>
    <row r="942" ht="11.25" customHeight="1">
      <c r="A942" s="63" t="s">
        <v>2167</v>
      </c>
      <c r="B942" s="63" t="s">
        <v>14</v>
      </c>
      <c r="C942" s="63" t="s">
        <v>2508</v>
      </c>
      <c r="D942" s="63" t="s">
        <v>2509</v>
      </c>
      <c r="E942" s="63" t="s">
        <v>2510</v>
      </c>
      <c r="F942" s="63" t="s">
        <v>2417</v>
      </c>
      <c r="G942" s="63" t="s">
        <v>18</v>
      </c>
      <c r="H942" s="63" t="s">
        <v>18</v>
      </c>
      <c r="I942" s="63" t="s">
        <v>802</v>
      </c>
    </row>
    <row r="943" ht="11.25" customHeight="1">
      <c r="A943" s="63" t="s">
        <v>2167</v>
      </c>
      <c r="B943" s="63" t="s">
        <v>14</v>
      </c>
      <c r="C943" s="63" t="s">
        <v>3778</v>
      </c>
      <c r="D943" s="63" t="s">
        <v>3779</v>
      </c>
      <c r="E943" s="63" t="s">
        <v>3780</v>
      </c>
      <c r="F943" s="63" t="s">
        <v>2380</v>
      </c>
      <c r="G943" s="63" t="s">
        <v>3781</v>
      </c>
      <c r="H943" s="63" t="s">
        <v>18</v>
      </c>
      <c r="I943" s="63" t="s">
        <v>802</v>
      </c>
    </row>
    <row r="944" ht="11.25" customHeight="1">
      <c r="A944" s="63" t="s">
        <v>2167</v>
      </c>
      <c r="B944" s="63" t="s">
        <v>14</v>
      </c>
      <c r="C944" s="63" t="s">
        <v>3790</v>
      </c>
      <c r="D944" s="63" t="s">
        <v>3791</v>
      </c>
      <c r="E944" s="63" t="s">
        <v>3792</v>
      </c>
      <c r="F944" s="63" t="s">
        <v>2370</v>
      </c>
      <c r="G944" s="63" t="s">
        <v>3793</v>
      </c>
      <c r="H944" s="63" t="s">
        <v>18</v>
      </c>
      <c r="I944" s="63" t="s">
        <v>802</v>
      </c>
    </row>
    <row r="945" ht="11.25" customHeight="1">
      <c r="A945" s="63" t="s">
        <v>2167</v>
      </c>
      <c r="B945" s="63" t="s">
        <v>14</v>
      </c>
      <c r="C945" s="63" t="s">
        <v>3809</v>
      </c>
      <c r="D945" s="63" t="s">
        <v>3810</v>
      </c>
      <c r="E945" s="63" t="s">
        <v>3811</v>
      </c>
      <c r="F945" s="63" t="s">
        <v>2645</v>
      </c>
      <c r="G945" s="63" t="s">
        <v>3812</v>
      </c>
      <c r="H945" s="63" t="s">
        <v>18</v>
      </c>
      <c r="I945" s="63" t="s">
        <v>802</v>
      </c>
    </row>
    <row r="946" ht="11.25" customHeight="1">
      <c r="A946" s="63" t="s">
        <v>2167</v>
      </c>
      <c r="B946" s="63" t="s">
        <v>14</v>
      </c>
      <c r="C946" s="63" t="s">
        <v>3813</v>
      </c>
      <c r="D946" s="63" t="s">
        <v>3814</v>
      </c>
      <c r="E946" s="63" t="s">
        <v>3815</v>
      </c>
      <c r="F946" s="63" t="s">
        <v>3096</v>
      </c>
      <c r="G946" s="63" t="s">
        <v>18</v>
      </c>
      <c r="H946" s="63" t="s">
        <v>18</v>
      </c>
      <c r="I946" s="63" t="s">
        <v>802</v>
      </c>
    </row>
    <row r="947" ht="11.25" customHeight="1">
      <c r="A947" s="63" t="s">
        <v>2167</v>
      </c>
      <c r="B947" s="63" t="s">
        <v>14</v>
      </c>
      <c r="C947" s="63" t="s">
        <v>3824</v>
      </c>
      <c r="D947" s="63" t="s">
        <v>3825</v>
      </c>
      <c r="E947" s="63" t="s">
        <v>3826</v>
      </c>
      <c r="F947" s="63" t="s">
        <v>2249</v>
      </c>
      <c r="G947" s="63" t="s">
        <v>18</v>
      </c>
      <c r="H947" s="63" t="s">
        <v>18</v>
      </c>
      <c r="I947" s="63" t="s">
        <v>802</v>
      </c>
    </row>
    <row r="948" ht="11.25" customHeight="1">
      <c r="A948" s="63" t="s">
        <v>2167</v>
      </c>
      <c r="B948" s="63" t="s">
        <v>14</v>
      </c>
      <c r="C948" s="63" t="s">
        <v>3827</v>
      </c>
      <c r="D948" s="63" t="s">
        <v>3828</v>
      </c>
      <c r="E948" s="63" t="s">
        <v>3829</v>
      </c>
      <c r="F948" s="63" t="s">
        <v>2593</v>
      </c>
      <c r="G948" s="63" t="s">
        <v>3830</v>
      </c>
      <c r="H948" s="63" t="s">
        <v>18</v>
      </c>
      <c r="I948" s="63" t="s">
        <v>802</v>
      </c>
    </row>
    <row r="949" ht="11.25" customHeight="1">
      <c r="A949" s="63" t="s">
        <v>2167</v>
      </c>
      <c r="B949" s="63" t="s">
        <v>14</v>
      </c>
      <c r="C949" s="63" t="s">
        <v>3831</v>
      </c>
      <c r="D949" s="63" t="s">
        <v>3832</v>
      </c>
      <c r="E949" s="63" t="s">
        <v>3833</v>
      </c>
      <c r="F949" s="63" t="s">
        <v>2465</v>
      </c>
      <c r="G949" s="63" t="s">
        <v>3834</v>
      </c>
      <c r="H949" s="63" t="s">
        <v>18</v>
      </c>
      <c r="I949" s="63" t="s">
        <v>802</v>
      </c>
    </row>
    <row r="950" ht="11.25" customHeight="1">
      <c r="A950" s="63" t="s">
        <v>2167</v>
      </c>
      <c r="B950" s="63" t="s">
        <v>14</v>
      </c>
      <c r="C950" s="63" t="s">
        <v>3835</v>
      </c>
      <c r="D950" s="63" t="s">
        <v>3836</v>
      </c>
      <c r="E950" s="63" t="s">
        <v>3837</v>
      </c>
      <c r="F950" s="63" t="s">
        <v>2502</v>
      </c>
      <c r="G950" s="63" t="s">
        <v>18</v>
      </c>
      <c r="H950" s="63" t="s">
        <v>18</v>
      </c>
      <c r="I950" s="63" t="s">
        <v>802</v>
      </c>
    </row>
    <row r="951" ht="11.25" customHeight="1">
      <c r="A951" s="63" t="s">
        <v>2167</v>
      </c>
      <c r="B951" s="63" t="s">
        <v>14</v>
      </c>
      <c r="C951" s="63" t="s">
        <v>2515</v>
      </c>
      <c r="D951" s="63" t="s">
        <v>2516</v>
      </c>
      <c r="E951" s="63" t="s">
        <v>2517</v>
      </c>
      <c r="F951" s="63" t="s">
        <v>2180</v>
      </c>
      <c r="G951" s="63" t="s">
        <v>2518</v>
      </c>
      <c r="H951" s="63" t="s">
        <v>18</v>
      </c>
      <c r="I951" s="63" t="s">
        <v>802</v>
      </c>
    </row>
    <row r="952" ht="11.25" customHeight="1">
      <c r="A952" s="63" t="s">
        <v>2167</v>
      </c>
      <c r="B952" s="63" t="s">
        <v>14</v>
      </c>
      <c r="C952" s="63" t="s">
        <v>3842</v>
      </c>
      <c r="D952" s="63" t="s">
        <v>3843</v>
      </c>
      <c r="E952" s="63" t="s">
        <v>3844</v>
      </c>
      <c r="F952" s="63" t="s">
        <v>3845</v>
      </c>
      <c r="G952" s="63" t="s">
        <v>18</v>
      </c>
      <c r="H952" s="63" t="s">
        <v>18</v>
      </c>
      <c r="I952" s="63" t="s">
        <v>802</v>
      </c>
    </row>
    <row r="953" ht="11.25" customHeight="1">
      <c r="A953" s="63" t="s">
        <v>2167</v>
      </c>
      <c r="B953" s="63" t="s">
        <v>14</v>
      </c>
      <c r="C953" s="63" t="s">
        <v>3846</v>
      </c>
      <c r="D953" s="63" t="s">
        <v>3847</v>
      </c>
      <c r="E953" s="63" t="s">
        <v>3848</v>
      </c>
      <c r="F953" s="63" t="s">
        <v>2645</v>
      </c>
      <c r="G953" s="63" t="s">
        <v>3849</v>
      </c>
      <c r="H953" s="63" t="s">
        <v>3850</v>
      </c>
      <c r="I953" s="63" t="s">
        <v>802</v>
      </c>
    </row>
    <row r="954" ht="11.25" customHeight="1">
      <c r="A954" s="63" t="s">
        <v>2167</v>
      </c>
      <c r="B954" s="63" t="s">
        <v>14</v>
      </c>
      <c r="C954" s="63" t="s">
        <v>2519</v>
      </c>
      <c r="D954" s="63" t="s">
        <v>2520</v>
      </c>
      <c r="E954" s="63" t="s">
        <v>2521</v>
      </c>
      <c r="F954" s="63" t="s">
        <v>2522</v>
      </c>
      <c r="G954" s="63" t="s">
        <v>2523</v>
      </c>
      <c r="H954" s="63" t="s">
        <v>18</v>
      </c>
      <c r="I954" s="63" t="s">
        <v>802</v>
      </c>
    </row>
    <row r="955" ht="11.25" customHeight="1">
      <c r="A955" s="63" t="s">
        <v>2167</v>
      </c>
      <c r="B955" s="63" t="s">
        <v>14</v>
      </c>
      <c r="C955" s="63" t="s">
        <v>3855</v>
      </c>
      <c r="D955" s="63" t="s">
        <v>3856</v>
      </c>
      <c r="E955" s="63" t="s">
        <v>3857</v>
      </c>
      <c r="F955" s="63" t="s">
        <v>2380</v>
      </c>
      <c r="G955" s="63" t="s">
        <v>3858</v>
      </c>
      <c r="H955" s="63" t="s">
        <v>18</v>
      </c>
      <c r="I955" s="63" t="s">
        <v>802</v>
      </c>
    </row>
    <row r="956" ht="11.25" customHeight="1">
      <c r="A956" s="63" t="s">
        <v>2167</v>
      </c>
      <c r="B956" s="63" t="s">
        <v>14</v>
      </c>
      <c r="C956" s="63" t="s">
        <v>2524</v>
      </c>
      <c r="D956" s="63" t="s">
        <v>2525</v>
      </c>
      <c r="E956" s="63" t="s">
        <v>2526</v>
      </c>
      <c r="F956" s="63" t="s">
        <v>2421</v>
      </c>
      <c r="G956" s="63" t="s">
        <v>2422</v>
      </c>
      <c r="H956" s="63" t="s">
        <v>18</v>
      </c>
      <c r="I956" s="63" t="s">
        <v>802</v>
      </c>
    </row>
    <row r="957" ht="11.25" customHeight="1">
      <c r="A957" s="63" t="s">
        <v>2167</v>
      </c>
      <c r="B957" s="63" t="s">
        <v>14</v>
      </c>
      <c r="C957" s="63" t="s">
        <v>2527</v>
      </c>
      <c r="D957" s="63" t="s">
        <v>2528</v>
      </c>
      <c r="E957" s="63" t="s">
        <v>2529</v>
      </c>
      <c r="F957" s="63" t="s">
        <v>2311</v>
      </c>
      <c r="G957" s="63" t="s">
        <v>2530</v>
      </c>
      <c r="H957" s="63" t="s">
        <v>18</v>
      </c>
      <c r="I957" s="63" t="s">
        <v>802</v>
      </c>
    </row>
    <row r="958" ht="11.25" customHeight="1">
      <c r="A958" s="63" t="s">
        <v>2167</v>
      </c>
      <c r="B958" s="63" t="s">
        <v>14</v>
      </c>
      <c r="C958" s="63" t="s">
        <v>2531</v>
      </c>
      <c r="D958" s="63" t="s">
        <v>2532</v>
      </c>
      <c r="E958" s="63" t="s">
        <v>2533</v>
      </c>
      <c r="F958" s="63" t="s">
        <v>2465</v>
      </c>
      <c r="G958" s="63" t="s">
        <v>2534</v>
      </c>
      <c r="H958" s="63" t="s">
        <v>18</v>
      </c>
      <c r="I958" s="63" t="s">
        <v>802</v>
      </c>
    </row>
    <row r="959" ht="11.25" customHeight="1">
      <c r="A959" s="63" t="s">
        <v>2167</v>
      </c>
      <c r="B959" s="63" t="s">
        <v>14</v>
      </c>
      <c r="C959" s="63" t="s">
        <v>2535</v>
      </c>
      <c r="D959" s="63" t="s">
        <v>2536</v>
      </c>
      <c r="E959" s="63" t="s">
        <v>2537</v>
      </c>
      <c r="F959" s="63" t="s">
        <v>2538</v>
      </c>
      <c r="G959" s="63" t="s">
        <v>2539</v>
      </c>
      <c r="H959" s="63" t="s">
        <v>18</v>
      </c>
      <c r="I959" s="63" t="s">
        <v>802</v>
      </c>
    </row>
    <row r="960" ht="11.25" customHeight="1">
      <c r="A960" s="63" t="s">
        <v>2167</v>
      </c>
      <c r="B960" s="63" t="s">
        <v>14</v>
      </c>
      <c r="C960" s="63" t="s">
        <v>3875</v>
      </c>
      <c r="D960" s="63" t="s">
        <v>3876</v>
      </c>
      <c r="E960" s="63" t="s">
        <v>3877</v>
      </c>
      <c r="F960" s="63" t="s">
        <v>2311</v>
      </c>
      <c r="G960" s="63" t="s">
        <v>3878</v>
      </c>
      <c r="H960" s="63" t="s">
        <v>18</v>
      </c>
      <c r="I960" s="63" t="s">
        <v>802</v>
      </c>
    </row>
    <row r="961" ht="11.25" customHeight="1">
      <c r="A961" s="63" t="s">
        <v>2167</v>
      </c>
      <c r="B961" s="63" t="s">
        <v>14</v>
      </c>
      <c r="C961" s="63" t="s">
        <v>3888</v>
      </c>
      <c r="D961" s="63" t="s">
        <v>3889</v>
      </c>
      <c r="E961" s="63" t="s">
        <v>3890</v>
      </c>
      <c r="F961" s="63" t="s">
        <v>2474</v>
      </c>
      <c r="G961" s="63" t="s">
        <v>18</v>
      </c>
      <c r="H961" s="63" t="s">
        <v>18</v>
      </c>
      <c r="I961" s="63" t="s">
        <v>802</v>
      </c>
    </row>
    <row r="962" ht="11.25" customHeight="1">
      <c r="A962" s="63" t="s">
        <v>2167</v>
      </c>
      <c r="B962" s="63" t="s">
        <v>14</v>
      </c>
      <c r="C962" s="63" t="s">
        <v>3891</v>
      </c>
      <c r="D962" s="63" t="s">
        <v>3892</v>
      </c>
      <c r="E962" s="63" t="s">
        <v>3893</v>
      </c>
      <c r="F962" s="63" t="s">
        <v>3496</v>
      </c>
      <c r="G962" s="63" t="s">
        <v>3894</v>
      </c>
      <c r="H962" s="63" t="s">
        <v>18</v>
      </c>
      <c r="I962" s="63" t="s">
        <v>802</v>
      </c>
    </row>
    <row r="963" ht="11.25" customHeight="1">
      <c r="A963" s="63" t="s">
        <v>2167</v>
      </c>
      <c r="B963" s="63" t="s">
        <v>14</v>
      </c>
      <c r="C963" s="63" t="s">
        <v>4641</v>
      </c>
      <c r="D963" s="63" t="s">
        <v>4642</v>
      </c>
      <c r="E963" s="63" t="s">
        <v>4643</v>
      </c>
      <c r="F963" s="63" t="s">
        <v>3496</v>
      </c>
      <c r="G963" s="63" t="s">
        <v>4644</v>
      </c>
      <c r="H963" s="63" t="s">
        <v>18</v>
      </c>
      <c r="I963" s="63" t="s">
        <v>802</v>
      </c>
    </row>
    <row r="964" ht="11.25" customHeight="1">
      <c r="A964" s="63" t="s">
        <v>2167</v>
      </c>
      <c r="B964" s="63" t="s">
        <v>14</v>
      </c>
      <c r="C964" s="63" t="s">
        <v>3895</v>
      </c>
      <c r="D964" s="63" t="s">
        <v>3896</v>
      </c>
      <c r="E964" s="63" t="s">
        <v>3897</v>
      </c>
      <c r="F964" s="63" t="s">
        <v>2557</v>
      </c>
      <c r="G964" s="63" t="s">
        <v>3898</v>
      </c>
      <c r="H964" s="63" t="s">
        <v>18</v>
      </c>
      <c r="I964" s="63" t="s">
        <v>802</v>
      </c>
    </row>
    <row r="965" ht="11.25" customHeight="1">
      <c r="A965" s="63" t="s">
        <v>2167</v>
      </c>
      <c r="B965" s="63" t="s">
        <v>14</v>
      </c>
      <c r="C965" s="63" t="s">
        <v>2540</v>
      </c>
      <c r="D965" s="63" t="s">
        <v>2541</v>
      </c>
      <c r="E965" s="63" t="s">
        <v>2542</v>
      </c>
      <c r="F965" s="63" t="s">
        <v>2522</v>
      </c>
      <c r="G965" s="63" t="s">
        <v>2543</v>
      </c>
      <c r="H965" s="63" t="s">
        <v>18</v>
      </c>
      <c r="I965" s="63" t="s">
        <v>802</v>
      </c>
    </row>
    <row r="966" ht="11.25" customHeight="1">
      <c r="A966" s="63" t="s">
        <v>2167</v>
      </c>
      <c r="B966" s="63" t="s">
        <v>14</v>
      </c>
      <c r="C966" s="63" t="s">
        <v>2544</v>
      </c>
      <c r="D966" s="63" t="s">
        <v>2545</v>
      </c>
      <c r="E966" s="63" t="s">
        <v>2546</v>
      </c>
      <c r="F966" s="63" t="s">
        <v>2497</v>
      </c>
      <c r="G966" s="63" t="s">
        <v>18</v>
      </c>
      <c r="H966" s="63" t="s">
        <v>18</v>
      </c>
      <c r="I966" s="63" t="s">
        <v>802</v>
      </c>
    </row>
    <row r="967" ht="11.25" customHeight="1">
      <c r="A967" s="63" t="s">
        <v>2167</v>
      </c>
      <c r="B967" s="63" t="s">
        <v>14</v>
      </c>
      <c r="C967" s="63" t="s">
        <v>3906</v>
      </c>
      <c r="D967" s="63" t="s">
        <v>3907</v>
      </c>
      <c r="E967" s="63" t="s">
        <v>3908</v>
      </c>
      <c r="F967" s="63" t="s">
        <v>2557</v>
      </c>
      <c r="G967" s="63" t="s">
        <v>3898</v>
      </c>
      <c r="H967" s="63" t="s">
        <v>18</v>
      </c>
      <c r="I967" s="63" t="s">
        <v>802</v>
      </c>
    </row>
    <row r="968" ht="11.25" customHeight="1">
      <c r="A968" s="63" t="s">
        <v>2167</v>
      </c>
      <c r="B968" s="63" t="s">
        <v>14</v>
      </c>
      <c r="C968" s="63" t="s">
        <v>3913</v>
      </c>
      <c r="D968" s="63" t="s">
        <v>3914</v>
      </c>
      <c r="E968" s="63" t="s">
        <v>3915</v>
      </c>
      <c r="F968" s="63" t="s">
        <v>3080</v>
      </c>
      <c r="G968" s="63" t="s">
        <v>18</v>
      </c>
      <c r="H968" s="63" t="s">
        <v>18</v>
      </c>
      <c r="I968" s="63" t="s">
        <v>802</v>
      </c>
    </row>
    <row r="969" ht="11.25" customHeight="1">
      <c r="A969" s="63" t="s">
        <v>2167</v>
      </c>
      <c r="B969" s="63" t="s">
        <v>14</v>
      </c>
      <c r="C969" s="63" t="s">
        <v>3928</v>
      </c>
      <c r="D969" s="63" t="s">
        <v>3929</v>
      </c>
      <c r="E969" s="63" t="s">
        <v>3930</v>
      </c>
      <c r="F969" s="63" t="s">
        <v>2506</v>
      </c>
      <c r="G969" s="63" t="s">
        <v>3931</v>
      </c>
      <c r="H969" s="63" t="s">
        <v>18</v>
      </c>
      <c r="I969" s="63" t="s">
        <v>802</v>
      </c>
    </row>
    <row r="970" ht="11.25" customHeight="1">
      <c r="A970" s="63" t="s">
        <v>2167</v>
      </c>
      <c r="B970" s="63" t="s">
        <v>14</v>
      </c>
      <c r="C970" s="63" t="s">
        <v>3936</v>
      </c>
      <c r="D970" s="63" t="s">
        <v>3937</v>
      </c>
      <c r="E970" s="63" t="s">
        <v>3938</v>
      </c>
      <c r="F970" s="63" t="s">
        <v>2413</v>
      </c>
      <c r="G970" s="63" t="s">
        <v>18</v>
      </c>
      <c r="H970" s="63" t="s">
        <v>18</v>
      </c>
      <c r="I970" s="63" t="s">
        <v>802</v>
      </c>
    </row>
    <row r="971" ht="11.25" customHeight="1">
      <c r="A971" s="63" t="s">
        <v>2167</v>
      </c>
      <c r="B971" s="63" t="s">
        <v>14</v>
      </c>
      <c r="C971" s="63" t="s">
        <v>3939</v>
      </c>
      <c r="D971" s="63" t="s">
        <v>3940</v>
      </c>
      <c r="E971" s="63" t="s">
        <v>3941</v>
      </c>
      <c r="F971" s="63" t="s">
        <v>2311</v>
      </c>
      <c r="G971" s="63" t="s">
        <v>18</v>
      </c>
      <c r="H971" s="63" t="s">
        <v>18</v>
      </c>
      <c r="I971" s="63" t="s">
        <v>802</v>
      </c>
    </row>
    <row r="972" ht="11.25" customHeight="1">
      <c r="A972" s="63" t="s">
        <v>2167</v>
      </c>
      <c r="B972" s="63" t="s">
        <v>14</v>
      </c>
      <c r="C972" s="63" t="s">
        <v>3942</v>
      </c>
      <c r="D972" s="63" t="s">
        <v>3943</v>
      </c>
      <c r="E972" s="63" t="s">
        <v>3944</v>
      </c>
      <c r="F972" s="63" t="s">
        <v>2311</v>
      </c>
      <c r="G972" s="63" t="s">
        <v>3442</v>
      </c>
      <c r="H972" s="63" t="s">
        <v>18</v>
      </c>
      <c r="I972" s="63" t="s">
        <v>802</v>
      </c>
    </row>
    <row r="973" ht="11.25" customHeight="1">
      <c r="A973" s="63" t="s">
        <v>2167</v>
      </c>
      <c r="B973" s="63" t="s">
        <v>14</v>
      </c>
      <c r="C973" s="63" t="s">
        <v>3990</v>
      </c>
      <c r="D973" s="63" t="s">
        <v>3991</v>
      </c>
      <c r="E973" s="63" t="s">
        <v>3992</v>
      </c>
      <c r="F973" s="63" t="s">
        <v>2506</v>
      </c>
      <c r="G973" s="63" t="s">
        <v>3993</v>
      </c>
      <c r="H973" s="63" t="s">
        <v>18</v>
      </c>
      <c r="I973" s="63" t="s">
        <v>802</v>
      </c>
    </row>
    <row r="974" ht="11.25" customHeight="1">
      <c r="A974" s="63" t="s">
        <v>2167</v>
      </c>
      <c r="B974" s="63" t="s">
        <v>14</v>
      </c>
      <c r="C974" s="63" t="s">
        <v>3994</v>
      </c>
      <c r="D974" s="63" t="s">
        <v>3995</v>
      </c>
      <c r="E974" s="63" t="s">
        <v>3996</v>
      </c>
      <c r="F974" s="63" t="s">
        <v>2311</v>
      </c>
      <c r="G974" s="63" t="s">
        <v>3997</v>
      </c>
      <c r="H974" s="63" t="s">
        <v>18</v>
      </c>
      <c r="I974" s="63" t="s">
        <v>802</v>
      </c>
    </row>
    <row r="975" ht="11.25" customHeight="1">
      <c r="A975" s="63" t="s">
        <v>2167</v>
      </c>
      <c r="B975" s="63" t="s">
        <v>14</v>
      </c>
      <c r="C975" s="63" t="s">
        <v>3998</v>
      </c>
      <c r="D975" s="63" t="s">
        <v>3999</v>
      </c>
      <c r="E975" s="63" t="s">
        <v>4000</v>
      </c>
      <c r="F975" s="63" t="s">
        <v>2483</v>
      </c>
      <c r="G975" s="63" t="s">
        <v>18</v>
      </c>
      <c r="H975" s="63" t="s">
        <v>18</v>
      </c>
      <c r="I975" s="63" t="s">
        <v>802</v>
      </c>
    </row>
    <row r="976" ht="11.25" customHeight="1">
      <c r="A976" s="63" t="s">
        <v>2167</v>
      </c>
      <c r="B976" s="63" t="s">
        <v>14</v>
      </c>
      <c r="C976" s="63" t="s">
        <v>4005</v>
      </c>
      <c r="D976" s="63" t="s">
        <v>4006</v>
      </c>
      <c r="E976" s="63" t="s">
        <v>4007</v>
      </c>
      <c r="F976" s="63" t="s">
        <v>2413</v>
      </c>
      <c r="G976" s="63" t="s">
        <v>4008</v>
      </c>
      <c r="H976" s="63" t="s">
        <v>18</v>
      </c>
      <c r="I976" s="63" t="s">
        <v>802</v>
      </c>
    </row>
    <row r="977" ht="11.25" customHeight="1">
      <c r="A977" s="63" t="s">
        <v>2167</v>
      </c>
      <c r="B977" s="63" t="s">
        <v>14</v>
      </c>
      <c r="C977" s="63" t="s">
        <v>4009</v>
      </c>
      <c r="D977" s="63" t="s">
        <v>4010</v>
      </c>
      <c r="E977" s="63" t="s">
        <v>4011</v>
      </c>
      <c r="F977" s="63" t="s">
        <v>3496</v>
      </c>
      <c r="G977" s="63" t="s">
        <v>4012</v>
      </c>
      <c r="H977" s="63" t="s">
        <v>18</v>
      </c>
      <c r="I977" s="63" t="s">
        <v>802</v>
      </c>
    </row>
    <row r="978" ht="11.25" customHeight="1">
      <c r="A978" s="63" t="s">
        <v>2167</v>
      </c>
      <c r="B978" s="63" t="s">
        <v>14</v>
      </c>
      <c r="C978" s="63" t="s">
        <v>2574</v>
      </c>
      <c r="D978" s="63" t="s">
        <v>2575</v>
      </c>
      <c r="E978" s="63" t="s">
        <v>2576</v>
      </c>
      <c r="F978" s="63" t="s">
        <v>2577</v>
      </c>
      <c r="G978" s="63" t="s">
        <v>2578</v>
      </c>
      <c r="H978" s="63" t="s">
        <v>18</v>
      </c>
      <c r="I978" s="63" t="s">
        <v>802</v>
      </c>
    </row>
    <row r="979" ht="11.25" customHeight="1">
      <c r="A979" s="63" t="s">
        <v>2167</v>
      </c>
      <c r="B979" s="63" t="s">
        <v>14</v>
      </c>
      <c r="C979" s="63" t="s">
        <v>2612</v>
      </c>
      <c r="D979" s="63" t="s">
        <v>2613</v>
      </c>
      <c r="E979" s="63" t="s">
        <v>2614</v>
      </c>
      <c r="F979" s="63" t="s">
        <v>2380</v>
      </c>
      <c r="G979" s="63" t="s">
        <v>2615</v>
      </c>
      <c r="H979" s="63" t="s">
        <v>18</v>
      </c>
      <c r="I979" s="63" t="s">
        <v>802</v>
      </c>
    </row>
    <row r="980" ht="11.25" customHeight="1">
      <c r="A980" s="63" t="s">
        <v>2167</v>
      </c>
      <c r="B980" s="63" t="s">
        <v>14</v>
      </c>
      <c r="C980" s="63" t="s">
        <v>4025</v>
      </c>
      <c r="D980" s="63" t="s">
        <v>4026</v>
      </c>
      <c r="E980" s="63" t="s">
        <v>4027</v>
      </c>
      <c r="F980" s="63" t="s">
        <v>3127</v>
      </c>
      <c r="G980" s="63" t="s">
        <v>4028</v>
      </c>
      <c r="H980" s="63" t="s">
        <v>18</v>
      </c>
      <c r="I980" s="63" t="s">
        <v>802</v>
      </c>
    </row>
    <row r="981" ht="11.25" customHeight="1">
      <c r="A981" s="63" t="s">
        <v>2167</v>
      </c>
      <c r="B981" s="63" t="s">
        <v>14</v>
      </c>
      <c r="C981" s="63" t="s">
        <v>2616</v>
      </c>
      <c r="D981" s="63" t="s">
        <v>2617</v>
      </c>
      <c r="E981" s="63" t="s">
        <v>2618</v>
      </c>
      <c r="F981" s="63" t="s">
        <v>2483</v>
      </c>
      <c r="G981" s="63" t="s">
        <v>18</v>
      </c>
      <c r="H981" s="63" t="s">
        <v>18</v>
      </c>
      <c r="I981" s="63" t="s">
        <v>802</v>
      </c>
    </row>
    <row r="982" ht="11.25" customHeight="1">
      <c r="A982" s="63" t="s">
        <v>2167</v>
      </c>
      <c r="B982" s="63" t="s">
        <v>14</v>
      </c>
      <c r="C982" s="63" t="s">
        <v>4048</v>
      </c>
      <c r="D982" s="63" t="s">
        <v>4049</v>
      </c>
      <c r="E982" s="63" t="s">
        <v>4050</v>
      </c>
      <c r="F982" s="63" t="s">
        <v>2538</v>
      </c>
      <c r="G982" s="63" t="s">
        <v>4051</v>
      </c>
      <c r="H982" s="63" t="s">
        <v>18</v>
      </c>
      <c r="I982" s="63" t="s">
        <v>802</v>
      </c>
    </row>
    <row r="983" ht="11.25" customHeight="1">
      <c r="A983" s="63" t="s">
        <v>2167</v>
      </c>
      <c r="B983" s="63" t="s">
        <v>14</v>
      </c>
      <c r="C983" s="63" t="s">
        <v>4060</v>
      </c>
      <c r="D983" s="63" t="s">
        <v>4061</v>
      </c>
      <c r="E983" s="63" t="s">
        <v>4062</v>
      </c>
      <c r="F983" s="63" t="s">
        <v>2218</v>
      </c>
      <c r="G983" s="63" t="s">
        <v>4063</v>
      </c>
      <c r="H983" s="63" t="s">
        <v>18</v>
      </c>
      <c r="I983" s="63" t="s">
        <v>802</v>
      </c>
    </row>
    <row r="984" ht="11.25" customHeight="1">
      <c r="A984" s="63" t="s">
        <v>2167</v>
      </c>
      <c r="B984" s="63" t="s">
        <v>14</v>
      </c>
      <c r="C984" s="63" t="s">
        <v>4079</v>
      </c>
      <c r="D984" s="63" t="s">
        <v>4080</v>
      </c>
      <c r="E984" s="63" t="s">
        <v>4081</v>
      </c>
      <c r="F984" s="63" t="s">
        <v>2171</v>
      </c>
      <c r="G984" s="63" t="s">
        <v>4082</v>
      </c>
      <c r="H984" s="63" t="s">
        <v>18</v>
      </c>
      <c r="I984" s="63" t="s">
        <v>802</v>
      </c>
    </row>
    <row r="985" ht="11.25" customHeight="1">
      <c r="A985" s="63" t="s">
        <v>2167</v>
      </c>
      <c r="B985" s="63" t="s">
        <v>14</v>
      </c>
      <c r="C985" s="63" t="s">
        <v>4083</v>
      </c>
      <c r="D985" s="63" t="s">
        <v>4084</v>
      </c>
      <c r="E985" s="63" t="s">
        <v>4085</v>
      </c>
      <c r="F985" s="63" t="s">
        <v>2898</v>
      </c>
      <c r="G985" s="63" t="s">
        <v>4086</v>
      </c>
      <c r="H985" s="63" t="s">
        <v>18</v>
      </c>
      <c r="I985" s="63" t="s">
        <v>802</v>
      </c>
    </row>
    <row r="986" ht="11.25" customHeight="1">
      <c r="A986" s="63" t="s">
        <v>2167</v>
      </c>
      <c r="B986" s="63" t="s">
        <v>14</v>
      </c>
      <c r="C986" s="63" t="s">
        <v>4118</v>
      </c>
      <c r="D986" s="63" t="s">
        <v>4119</v>
      </c>
      <c r="E986" s="63" t="s">
        <v>4120</v>
      </c>
      <c r="F986" s="63" t="s">
        <v>2898</v>
      </c>
      <c r="G986" s="63" t="s">
        <v>4121</v>
      </c>
      <c r="H986" s="63" t="s">
        <v>18</v>
      </c>
      <c r="I986" s="63" t="s">
        <v>802</v>
      </c>
    </row>
    <row r="987" ht="11.25" customHeight="1">
      <c r="A987" s="63" t="s">
        <v>2167</v>
      </c>
      <c r="B987" s="63" t="s">
        <v>14</v>
      </c>
      <c r="C987" s="63" t="s">
        <v>4122</v>
      </c>
      <c r="D987" s="63" t="s">
        <v>4123</v>
      </c>
      <c r="E987" s="63" t="s">
        <v>4124</v>
      </c>
      <c r="F987" s="63" t="s">
        <v>2898</v>
      </c>
      <c r="G987" s="63" t="s">
        <v>4125</v>
      </c>
      <c r="H987" s="63" t="s">
        <v>18</v>
      </c>
      <c r="I987" s="63" t="s">
        <v>802</v>
      </c>
    </row>
    <row r="988" ht="11.25" customHeight="1">
      <c r="A988" s="63" t="s">
        <v>2167</v>
      </c>
      <c r="B988" s="63" t="s">
        <v>14</v>
      </c>
      <c r="C988" s="63" t="s">
        <v>4130</v>
      </c>
      <c r="D988" s="63" t="s">
        <v>4131</v>
      </c>
      <c r="E988" s="63" t="s">
        <v>4132</v>
      </c>
      <c r="F988" s="63" t="s">
        <v>2474</v>
      </c>
      <c r="G988" s="63" t="s">
        <v>18</v>
      </c>
      <c r="H988" s="63" t="s">
        <v>18</v>
      </c>
      <c r="I988" s="63" t="s">
        <v>802</v>
      </c>
    </row>
    <row r="989" ht="11.25" customHeight="1">
      <c r="A989" s="63" t="s">
        <v>2167</v>
      </c>
      <c r="B989" s="63" t="s">
        <v>14</v>
      </c>
      <c r="C989" s="63" t="s">
        <v>4133</v>
      </c>
      <c r="D989" s="63" t="s">
        <v>4134</v>
      </c>
      <c r="E989" s="63" t="s">
        <v>4135</v>
      </c>
      <c r="F989" s="63" t="s">
        <v>2611</v>
      </c>
      <c r="G989" s="63" t="s">
        <v>4136</v>
      </c>
      <c r="H989" s="63" t="s">
        <v>18</v>
      </c>
      <c r="I989" s="63" t="s">
        <v>802</v>
      </c>
    </row>
    <row r="990" ht="11.25" customHeight="1">
      <c r="A990" s="63" t="s">
        <v>2167</v>
      </c>
      <c r="B990" s="63" t="s">
        <v>14</v>
      </c>
      <c r="C990" s="63" t="s">
        <v>2647</v>
      </c>
      <c r="D990" s="63" t="s">
        <v>2648</v>
      </c>
      <c r="E990" s="63" t="s">
        <v>2649</v>
      </c>
      <c r="F990" s="63" t="s">
        <v>2291</v>
      </c>
      <c r="G990" s="63" t="s">
        <v>18</v>
      </c>
      <c r="H990" s="63" t="s">
        <v>18</v>
      </c>
      <c r="I990" s="63" t="s">
        <v>802</v>
      </c>
    </row>
    <row r="991" ht="11.25" customHeight="1">
      <c r="A991" s="63" t="s">
        <v>2167</v>
      </c>
      <c r="B991" s="63" t="s">
        <v>14</v>
      </c>
      <c r="C991" s="63" t="s">
        <v>2650</v>
      </c>
      <c r="D991" s="63" t="s">
        <v>2651</v>
      </c>
      <c r="E991" s="63" t="s">
        <v>2652</v>
      </c>
      <c r="F991" s="63" t="s">
        <v>2474</v>
      </c>
      <c r="G991" s="63" t="s">
        <v>18</v>
      </c>
      <c r="H991" s="63" t="s">
        <v>18</v>
      </c>
      <c r="I991" s="63" t="s">
        <v>802</v>
      </c>
    </row>
    <row r="992" ht="11.25" customHeight="1">
      <c r="A992" s="63" t="s">
        <v>2167</v>
      </c>
      <c r="B992" s="63" t="s">
        <v>14</v>
      </c>
      <c r="C992" s="63" t="s">
        <v>4144</v>
      </c>
      <c r="D992" s="63" t="s">
        <v>4145</v>
      </c>
      <c r="E992" s="63" t="s">
        <v>4146</v>
      </c>
      <c r="F992" s="63" t="s">
        <v>2185</v>
      </c>
      <c r="G992" s="63" t="s">
        <v>18</v>
      </c>
      <c r="H992" s="63" t="s">
        <v>18</v>
      </c>
      <c r="I992" s="63" t="s">
        <v>802</v>
      </c>
    </row>
    <row r="993" ht="11.25" customHeight="1">
      <c r="A993" s="63" t="s">
        <v>2167</v>
      </c>
      <c r="B993" s="63" t="s">
        <v>14</v>
      </c>
      <c r="C993" s="63" t="s">
        <v>4147</v>
      </c>
      <c r="D993" s="63" t="s">
        <v>4148</v>
      </c>
      <c r="E993" s="63" t="s">
        <v>4149</v>
      </c>
      <c r="F993" s="63" t="s">
        <v>2474</v>
      </c>
      <c r="G993" s="63" t="s">
        <v>18</v>
      </c>
      <c r="H993" s="63" t="s">
        <v>18</v>
      </c>
      <c r="I993" s="63" t="s">
        <v>802</v>
      </c>
    </row>
    <row r="994" ht="11.25" customHeight="1">
      <c r="A994" s="63" t="s">
        <v>2167</v>
      </c>
      <c r="B994" s="63" t="s">
        <v>14</v>
      </c>
      <c r="C994" s="63" t="s">
        <v>2657</v>
      </c>
      <c r="D994" s="63" t="s">
        <v>2658</v>
      </c>
      <c r="E994" s="63" t="s">
        <v>2659</v>
      </c>
      <c r="F994" s="63" t="s">
        <v>2630</v>
      </c>
      <c r="G994" s="63" t="s">
        <v>2660</v>
      </c>
      <c r="H994" s="63" t="s">
        <v>18</v>
      </c>
      <c r="I994" s="63" t="s">
        <v>802</v>
      </c>
    </row>
    <row r="995" ht="11.25" customHeight="1">
      <c r="A995" s="63" t="s">
        <v>2167</v>
      </c>
      <c r="B995" s="63" t="s">
        <v>14</v>
      </c>
      <c r="C995" s="63" t="s">
        <v>2661</v>
      </c>
      <c r="D995" s="63" t="s">
        <v>2662</v>
      </c>
      <c r="E995" s="63" t="s">
        <v>2663</v>
      </c>
      <c r="F995" s="63" t="s">
        <v>2577</v>
      </c>
      <c r="G995" s="63" t="s">
        <v>2664</v>
      </c>
      <c r="H995" s="63" t="s">
        <v>18</v>
      </c>
      <c r="I995" s="63" t="s">
        <v>802</v>
      </c>
    </row>
    <row r="996" ht="11.25" customHeight="1">
      <c r="A996" s="63" t="s">
        <v>2167</v>
      </c>
      <c r="B996" s="63" t="s">
        <v>14</v>
      </c>
      <c r="C996" s="63" t="s">
        <v>4153</v>
      </c>
      <c r="D996" s="63" t="s">
        <v>4154</v>
      </c>
      <c r="E996" s="63" t="s">
        <v>4155</v>
      </c>
      <c r="F996" s="63" t="s">
        <v>2240</v>
      </c>
      <c r="G996" s="63" t="s">
        <v>4024</v>
      </c>
      <c r="H996" s="63" t="s">
        <v>18</v>
      </c>
      <c r="I996" s="63" t="s">
        <v>802</v>
      </c>
    </row>
    <row r="997" ht="11.25" customHeight="1">
      <c r="A997" s="63" t="s">
        <v>2167</v>
      </c>
      <c r="B997" s="63" t="s">
        <v>14</v>
      </c>
      <c r="C997" s="63" t="s">
        <v>4156</v>
      </c>
      <c r="D997" s="63" t="s">
        <v>4157</v>
      </c>
      <c r="E997" s="63" t="s">
        <v>4158</v>
      </c>
      <c r="F997" s="63" t="s">
        <v>3496</v>
      </c>
      <c r="G997" s="63" t="s">
        <v>4159</v>
      </c>
      <c r="H997" s="63" t="s">
        <v>18</v>
      </c>
      <c r="I997" s="63" t="s">
        <v>802</v>
      </c>
    </row>
    <row r="998" ht="11.25" customHeight="1">
      <c r="A998" s="63" t="s">
        <v>2167</v>
      </c>
      <c r="B998" s="63" t="s">
        <v>14</v>
      </c>
      <c r="C998" s="63" t="s">
        <v>2669</v>
      </c>
      <c r="D998" s="63" t="s">
        <v>2670</v>
      </c>
      <c r="E998" s="63" t="s">
        <v>2671</v>
      </c>
      <c r="F998" s="63" t="s">
        <v>2311</v>
      </c>
      <c r="G998" s="63" t="s">
        <v>18</v>
      </c>
      <c r="H998" s="63" t="s">
        <v>18</v>
      </c>
      <c r="I998" s="63" t="s">
        <v>802</v>
      </c>
    </row>
    <row r="999" ht="11.25" customHeight="1">
      <c r="A999" s="63" t="s">
        <v>2167</v>
      </c>
      <c r="B999" s="63" t="s">
        <v>14</v>
      </c>
      <c r="C999" s="63" t="s">
        <v>4168</v>
      </c>
      <c r="D999" s="63" t="s">
        <v>4169</v>
      </c>
      <c r="E999" s="63" t="s">
        <v>4170</v>
      </c>
      <c r="F999" s="63" t="s">
        <v>2403</v>
      </c>
      <c r="G999" s="63" t="s">
        <v>18</v>
      </c>
      <c r="H999" s="63" t="s">
        <v>18</v>
      </c>
      <c r="I999" s="63" t="s">
        <v>802</v>
      </c>
    </row>
    <row r="1000" ht="11.25" customHeight="1">
      <c r="A1000" s="63" t="s">
        <v>2167</v>
      </c>
      <c r="B1000" s="63" t="s">
        <v>14</v>
      </c>
      <c r="C1000" s="63" t="s">
        <v>4645</v>
      </c>
      <c r="D1000" s="63" t="s">
        <v>4646</v>
      </c>
      <c r="E1000" s="63" t="s">
        <v>4647</v>
      </c>
      <c r="F1000" s="63" t="s">
        <v>2291</v>
      </c>
      <c r="G1000" s="63" t="s">
        <v>4648</v>
      </c>
      <c r="H1000" s="63" t="s">
        <v>18</v>
      </c>
      <c r="I1000" s="63" t="s">
        <v>802</v>
      </c>
    </row>
    <row r="1001" ht="11.25" customHeight="1">
      <c r="A1001" s="63" t="s">
        <v>2167</v>
      </c>
      <c r="B1001" s="63" t="s">
        <v>14</v>
      </c>
      <c r="C1001" s="63" t="s">
        <v>4171</v>
      </c>
      <c r="D1001" s="63" t="s">
        <v>4172</v>
      </c>
      <c r="E1001" s="63" t="s">
        <v>4173</v>
      </c>
      <c r="F1001" s="63" t="s">
        <v>2598</v>
      </c>
      <c r="G1001" s="63" t="s">
        <v>18</v>
      </c>
      <c r="H1001" s="63" t="s">
        <v>18</v>
      </c>
      <c r="I1001" s="63" t="s">
        <v>802</v>
      </c>
    </row>
    <row r="1002" ht="11.25" customHeight="1">
      <c r="A1002" s="63" t="s">
        <v>2167</v>
      </c>
      <c r="B1002" s="63" t="s">
        <v>14</v>
      </c>
      <c r="C1002" s="63" t="s">
        <v>2675</v>
      </c>
      <c r="D1002" s="63" t="s">
        <v>2676</v>
      </c>
      <c r="E1002" s="63" t="s">
        <v>2677</v>
      </c>
      <c r="F1002" s="63" t="s">
        <v>2218</v>
      </c>
      <c r="G1002" s="63" t="s">
        <v>2678</v>
      </c>
      <c r="H1002" s="63" t="s">
        <v>18</v>
      </c>
      <c r="I1002" s="63" t="s">
        <v>802</v>
      </c>
    </row>
    <row r="1003" ht="11.25" customHeight="1">
      <c r="A1003" s="63" t="s">
        <v>2167</v>
      </c>
      <c r="B1003" s="63" t="s">
        <v>14</v>
      </c>
      <c r="C1003" s="63" t="s">
        <v>2692</v>
      </c>
      <c r="D1003" s="63" t="s">
        <v>2693</v>
      </c>
      <c r="E1003" s="63" t="s">
        <v>2694</v>
      </c>
      <c r="F1003" s="63" t="s">
        <v>2180</v>
      </c>
      <c r="G1003" s="63" t="s">
        <v>18</v>
      </c>
      <c r="H1003" s="63" t="s">
        <v>18</v>
      </c>
      <c r="I1003" s="63" t="s">
        <v>802</v>
      </c>
    </row>
    <row r="1004" ht="11.25" customHeight="1">
      <c r="A1004" s="63" t="s">
        <v>2167</v>
      </c>
      <c r="B1004" s="63" t="s">
        <v>14</v>
      </c>
      <c r="C1004" s="63" t="s">
        <v>4186</v>
      </c>
      <c r="D1004" s="63" t="s">
        <v>4187</v>
      </c>
      <c r="E1004" s="63" t="s">
        <v>4188</v>
      </c>
      <c r="F1004" s="63" t="s">
        <v>3080</v>
      </c>
      <c r="G1004" s="63" t="s">
        <v>18</v>
      </c>
      <c r="H1004" s="63" t="s">
        <v>18</v>
      </c>
      <c r="I1004" s="63" t="s">
        <v>802</v>
      </c>
    </row>
    <row r="1005" ht="11.25" customHeight="1">
      <c r="A1005" s="63" t="s">
        <v>2167</v>
      </c>
      <c r="B1005" s="63" t="s">
        <v>14</v>
      </c>
      <c r="C1005" s="63" t="s">
        <v>4649</v>
      </c>
      <c r="D1005" s="63" t="s">
        <v>4650</v>
      </c>
      <c r="E1005" s="63" t="s">
        <v>4651</v>
      </c>
      <c r="F1005" s="63" t="s">
        <v>2176</v>
      </c>
      <c r="G1005" s="63" t="s">
        <v>18</v>
      </c>
      <c r="H1005" s="63" t="s">
        <v>18</v>
      </c>
      <c r="I1005" s="63" t="s">
        <v>802</v>
      </c>
    </row>
    <row r="1006" ht="11.25" customHeight="1">
      <c r="A1006" s="63" t="s">
        <v>2167</v>
      </c>
      <c r="B1006" s="63" t="s">
        <v>14</v>
      </c>
      <c r="C1006" s="63" t="s">
        <v>4189</v>
      </c>
      <c r="D1006" s="63" t="s">
        <v>4190</v>
      </c>
      <c r="E1006" s="63" t="s">
        <v>4191</v>
      </c>
      <c r="F1006" s="63" t="s">
        <v>2185</v>
      </c>
      <c r="G1006" s="63" t="s">
        <v>18</v>
      </c>
      <c r="H1006" s="63" t="s">
        <v>18</v>
      </c>
      <c r="I1006" s="63" t="s">
        <v>802</v>
      </c>
    </row>
    <row r="1007" ht="11.25" customHeight="1">
      <c r="A1007" s="63" t="s">
        <v>2167</v>
      </c>
      <c r="B1007" s="63" t="s">
        <v>14</v>
      </c>
      <c r="C1007" s="63" t="s">
        <v>4192</v>
      </c>
      <c r="D1007" s="63" t="s">
        <v>4193</v>
      </c>
      <c r="E1007" s="63" t="s">
        <v>4194</v>
      </c>
      <c r="F1007" s="63" t="s">
        <v>2380</v>
      </c>
      <c r="G1007" s="63" t="s">
        <v>4195</v>
      </c>
      <c r="H1007" s="63" t="s">
        <v>18</v>
      </c>
      <c r="I1007" s="63" t="s">
        <v>802</v>
      </c>
    </row>
    <row r="1008" ht="11.25" customHeight="1">
      <c r="A1008" s="63" t="s">
        <v>2167</v>
      </c>
      <c r="B1008" s="63" t="s">
        <v>14</v>
      </c>
      <c r="C1008" s="63" t="s">
        <v>2716</v>
      </c>
      <c r="D1008" s="63" t="s">
        <v>2717</v>
      </c>
      <c r="E1008" s="63" t="s">
        <v>2718</v>
      </c>
      <c r="F1008" s="63" t="s">
        <v>2469</v>
      </c>
      <c r="G1008" s="63" t="s">
        <v>2719</v>
      </c>
      <c r="H1008" s="63" t="s">
        <v>18</v>
      </c>
      <c r="I1008" s="63" t="s">
        <v>802</v>
      </c>
    </row>
    <row r="1009" ht="11.25" customHeight="1">
      <c r="A1009" s="63" t="s">
        <v>2167</v>
      </c>
      <c r="B1009" s="63" t="s">
        <v>14</v>
      </c>
      <c r="C1009" s="63" t="s">
        <v>4652</v>
      </c>
      <c r="D1009" s="63" t="s">
        <v>4653</v>
      </c>
      <c r="E1009" s="63" t="s">
        <v>4654</v>
      </c>
      <c r="F1009" s="63" t="s">
        <v>2607</v>
      </c>
      <c r="G1009" s="63" t="s">
        <v>3695</v>
      </c>
      <c r="H1009" s="63" t="s">
        <v>18</v>
      </c>
      <c r="I1009" s="63" t="s">
        <v>802</v>
      </c>
    </row>
    <row r="1010" ht="11.25" customHeight="1">
      <c r="A1010" s="63" t="s">
        <v>2167</v>
      </c>
      <c r="B1010" s="63" t="s">
        <v>14</v>
      </c>
      <c r="C1010" s="63" t="s">
        <v>4199</v>
      </c>
      <c r="D1010" s="63" t="s">
        <v>4200</v>
      </c>
      <c r="E1010" s="63" t="s">
        <v>4201</v>
      </c>
      <c r="F1010" s="63" t="s">
        <v>2185</v>
      </c>
      <c r="G1010" s="63" t="s">
        <v>18</v>
      </c>
      <c r="H1010" s="63" t="s">
        <v>18</v>
      </c>
      <c r="I1010" s="63" t="s">
        <v>802</v>
      </c>
    </row>
    <row r="1011" ht="11.25" customHeight="1">
      <c r="A1011" s="63" t="s">
        <v>2167</v>
      </c>
      <c r="B1011" s="63" t="s">
        <v>14</v>
      </c>
      <c r="C1011" s="63" t="s">
        <v>4655</v>
      </c>
      <c r="D1011" s="63" t="s">
        <v>4656</v>
      </c>
      <c r="E1011" s="63" t="s">
        <v>4657</v>
      </c>
      <c r="F1011" s="63" t="s">
        <v>2185</v>
      </c>
      <c r="G1011" s="63" t="s">
        <v>18</v>
      </c>
      <c r="H1011" s="63" t="s">
        <v>18</v>
      </c>
      <c r="I1011" s="63" t="s">
        <v>802</v>
      </c>
    </row>
    <row r="1012" ht="11.25" customHeight="1">
      <c r="A1012" s="63" t="s">
        <v>2167</v>
      </c>
      <c r="B1012" s="63" t="s">
        <v>14</v>
      </c>
      <c r="C1012" s="63" t="s">
        <v>4658</v>
      </c>
      <c r="D1012" s="63" t="s">
        <v>4659</v>
      </c>
      <c r="E1012" s="63" t="s">
        <v>4660</v>
      </c>
      <c r="F1012" s="63" t="s">
        <v>3055</v>
      </c>
      <c r="G1012" s="63" t="s">
        <v>18</v>
      </c>
      <c r="H1012" s="63" t="s">
        <v>18</v>
      </c>
      <c r="I1012" s="63" t="s">
        <v>802</v>
      </c>
    </row>
    <row r="1013" ht="11.25" customHeight="1">
      <c r="A1013" s="63" t="s">
        <v>2167</v>
      </c>
      <c r="B1013" s="63" t="s">
        <v>14</v>
      </c>
      <c r="C1013" s="63" t="s">
        <v>2745</v>
      </c>
      <c r="D1013" s="63" t="s">
        <v>2746</v>
      </c>
      <c r="E1013" s="63" t="s">
        <v>2747</v>
      </c>
      <c r="F1013" s="63" t="s">
        <v>2550</v>
      </c>
      <c r="G1013" s="63" t="s">
        <v>2748</v>
      </c>
      <c r="H1013" s="63" t="s">
        <v>18</v>
      </c>
      <c r="I1013" s="63" t="s">
        <v>802</v>
      </c>
    </row>
    <row r="1014" ht="11.25" customHeight="1">
      <c r="A1014" s="63" t="s">
        <v>2167</v>
      </c>
      <c r="B1014" s="63" t="s">
        <v>14</v>
      </c>
      <c r="C1014" s="63" t="s">
        <v>4661</v>
      </c>
      <c r="D1014" s="63" t="s">
        <v>4662</v>
      </c>
      <c r="E1014" s="63" t="s">
        <v>4663</v>
      </c>
      <c r="F1014" s="63" t="s">
        <v>3055</v>
      </c>
      <c r="G1014" s="63" t="s">
        <v>18</v>
      </c>
      <c r="H1014" s="63" t="s">
        <v>18</v>
      </c>
      <c r="I1014" s="63" t="s">
        <v>802</v>
      </c>
    </row>
    <row r="1015" ht="11.25" customHeight="1">
      <c r="A1015" s="63" t="s">
        <v>2167</v>
      </c>
      <c r="B1015" s="63" t="s">
        <v>14</v>
      </c>
      <c r="C1015" s="63" t="s">
        <v>4664</v>
      </c>
      <c r="D1015" s="63" t="s">
        <v>4665</v>
      </c>
      <c r="E1015" s="63" t="s">
        <v>4666</v>
      </c>
      <c r="F1015" s="63" t="s">
        <v>3466</v>
      </c>
      <c r="G1015" s="63" t="s">
        <v>4667</v>
      </c>
      <c r="H1015" s="63" t="s">
        <v>18</v>
      </c>
      <c r="I1015" s="63" t="s">
        <v>802</v>
      </c>
    </row>
    <row r="1016" ht="11.25" customHeight="1">
      <c r="A1016" s="63" t="s">
        <v>2167</v>
      </c>
      <c r="B1016" s="63" t="s">
        <v>14</v>
      </c>
      <c r="C1016" s="63" t="s">
        <v>4668</v>
      </c>
      <c r="D1016" s="63" t="s">
        <v>4669</v>
      </c>
      <c r="E1016" s="63" t="s">
        <v>4670</v>
      </c>
      <c r="F1016" s="63" t="s">
        <v>2171</v>
      </c>
      <c r="G1016" s="63" t="s">
        <v>18</v>
      </c>
      <c r="H1016" s="63" t="s">
        <v>18</v>
      </c>
      <c r="I1016" s="63" t="s">
        <v>802</v>
      </c>
    </row>
    <row r="1017" ht="11.25" customHeight="1">
      <c r="A1017" s="63" t="s">
        <v>2167</v>
      </c>
      <c r="B1017" s="63" t="s">
        <v>14</v>
      </c>
      <c r="C1017" s="63" t="s">
        <v>4209</v>
      </c>
      <c r="D1017" s="63" t="s">
        <v>4210</v>
      </c>
      <c r="E1017" s="63" t="s">
        <v>4211</v>
      </c>
      <c r="F1017" s="63" t="s">
        <v>2557</v>
      </c>
      <c r="G1017" s="63" t="s">
        <v>4212</v>
      </c>
      <c r="H1017" s="63" t="s">
        <v>18</v>
      </c>
      <c r="I1017" s="63" t="s">
        <v>802</v>
      </c>
    </row>
    <row r="1018" ht="11.25" customHeight="1">
      <c r="A1018" s="63" t="s">
        <v>2167</v>
      </c>
      <c r="B1018" s="63" t="s">
        <v>14</v>
      </c>
      <c r="C1018" s="63" t="s">
        <v>4671</v>
      </c>
      <c r="D1018" s="63" t="s">
        <v>4672</v>
      </c>
      <c r="E1018" s="63" t="s">
        <v>4673</v>
      </c>
      <c r="F1018" s="63" t="s">
        <v>2307</v>
      </c>
      <c r="G1018" s="63" t="s">
        <v>4674</v>
      </c>
      <c r="H1018" s="63" t="s">
        <v>18</v>
      </c>
      <c r="I1018" s="63" t="s">
        <v>802</v>
      </c>
    </row>
    <row r="1019" ht="11.25" customHeight="1">
      <c r="A1019" s="63" t="s">
        <v>2167</v>
      </c>
      <c r="B1019" s="63" t="s">
        <v>14</v>
      </c>
      <c r="C1019" s="63" t="s">
        <v>4675</v>
      </c>
      <c r="D1019" s="63" t="s">
        <v>4676</v>
      </c>
      <c r="E1019" s="63" t="s">
        <v>4677</v>
      </c>
      <c r="F1019" s="63" t="s">
        <v>2898</v>
      </c>
      <c r="G1019" s="63" t="s">
        <v>3202</v>
      </c>
      <c r="H1019" s="63" t="s">
        <v>18</v>
      </c>
      <c r="I1019" s="63" t="s">
        <v>802</v>
      </c>
    </row>
    <row r="1020" ht="11.25" customHeight="1">
      <c r="A1020" s="63" t="s">
        <v>2167</v>
      </c>
      <c r="B1020" s="63" t="s">
        <v>14</v>
      </c>
      <c r="C1020" s="63" t="s">
        <v>4678</v>
      </c>
      <c r="D1020" s="63" t="s">
        <v>4679</v>
      </c>
      <c r="E1020" s="63" t="s">
        <v>4680</v>
      </c>
      <c r="F1020" s="63" t="s">
        <v>2483</v>
      </c>
      <c r="G1020" s="63" t="s">
        <v>4681</v>
      </c>
      <c r="H1020" s="63" t="s">
        <v>18</v>
      </c>
      <c r="I1020" s="63" t="s">
        <v>802</v>
      </c>
    </row>
    <row r="1021" ht="11.25" customHeight="1">
      <c r="A1021" s="63" t="s">
        <v>2167</v>
      </c>
      <c r="B1021" s="63" t="s">
        <v>14</v>
      </c>
      <c r="C1021" s="63" t="s">
        <v>2779</v>
      </c>
      <c r="D1021" s="63" t="s">
        <v>2780</v>
      </c>
      <c r="E1021" s="63" t="s">
        <v>2781</v>
      </c>
      <c r="F1021" s="63" t="s">
        <v>2557</v>
      </c>
      <c r="G1021" s="63" t="s">
        <v>2782</v>
      </c>
      <c r="H1021" s="63" t="s">
        <v>18</v>
      </c>
      <c r="I1021" s="63" t="s">
        <v>802</v>
      </c>
    </row>
    <row r="1022" ht="11.25" customHeight="1">
      <c r="A1022" s="63" t="s">
        <v>2167</v>
      </c>
      <c r="B1022" s="63" t="s">
        <v>14</v>
      </c>
      <c r="C1022" s="63" t="s">
        <v>4682</v>
      </c>
      <c r="D1022" s="63" t="s">
        <v>4683</v>
      </c>
      <c r="E1022" s="63" t="s">
        <v>4684</v>
      </c>
      <c r="F1022" s="63" t="s">
        <v>2176</v>
      </c>
      <c r="G1022" s="63" t="s">
        <v>4685</v>
      </c>
      <c r="H1022" s="63" t="s">
        <v>18</v>
      </c>
      <c r="I1022" s="63" t="s">
        <v>802</v>
      </c>
    </row>
    <row r="1023" ht="11.25" customHeight="1">
      <c r="A1023" s="63" t="s">
        <v>2167</v>
      </c>
      <c r="B1023" s="63" t="s">
        <v>14</v>
      </c>
      <c r="C1023" s="63" t="s">
        <v>4686</v>
      </c>
      <c r="D1023" s="63" t="s">
        <v>4687</v>
      </c>
      <c r="E1023" s="63" t="s">
        <v>4688</v>
      </c>
      <c r="F1023" s="63" t="s">
        <v>2370</v>
      </c>
      <c r="G1023" s="63" t="s">
        <v>18</v>
      </c>
      <c r="H1023" s="63" t="s">
        <v>18</v>
      </c>
      <c r="I1023" s="63" t="s">
        <v>802</v>
      </c>
    </row>
    <row r="1024" ht="11.25" customHeight="1">
      <c r="A1024" s="63" t="s">
        <v>2167</v>
      </c>
      <c r="B1024" s="63" t="s">
        <v>14</v>
      </c>
      <c r="C1024" s="63" t="s">
        <v>4227</v>
      </c>
      <c r="D1024" s="63" t="s">
        <v>4228</v>
      </c>
      <c r="E1024" s="63" t="s">
        <v>4229</v>
      </c>
      <c r="F1024" s="63" t="s">
        <v>2176</v>
      </c>
      <c r="G1024" s="63" t="s">
        <v>4230</v>
      </c>
      <c r="H1024" s="63" t="s">
        <v>18</v>
      </c>
      <c r="I1024" s="63" t="s">
        <v>802</v>
      </c>
    </row>
    <row r="1025" ht="11.25" customHeight="1">
      <c r="A1025" s="63" t="s">
        <v>2167</v>
      </c>
      <c r="B1025" s="63" t="s">
        <v>14</v>
      </c>
      <c r="C1025" s="63" t="s">
        <v>4246</v>
      </c>
      <c r="D1025" s="63" t="s">
        <v>4247</v>
      </c>
      <c r="E1025" s="63" t="s">
        <v>4248</v>
      </c>
      <c r="F1025" s="63" t="s">
        <v>2249</v>
      </c>
      <c r="G1025" s="63" t="s">
        <v>4249</v>
      </c>
      <c r="H1025" s="63" t="s">
        <v>18</v>
      </c>
      <c r="I1025" s="63" t="s">
        <v>802</v>
      </c>
    </row>
    <row r="1026" ht="11.25" customHeight="1">
      <c r="A1026" s="63" t="s">
        <v>2167</v>
      </c>
      <c r="B1026" s="63" t="s">
        <v>14</v>
      </c>
      <c r="C1026" s="63" t="s">
        <v>4250</v>
      </c>
      <c r="D1026" s="63" t="s">
        <v>4251</v>
      </c>
      <c r="E1026" s="63" t="s">
        <v>4252</v>
      </c>
      <c r="F1026" s="63" t="s">
        <v>3055</v>
      </c>
      <c r="G1026" s="63" t="s">
        <v>18</v>
      </c>
      <c r="H1026" s="63" t="s">
        <v>18</v>
      </c>
      <c r="I1026" s="63" t="s">
        <v>802</v>
      </c>
    </row>
    <row r="1027" ht="11.25" customHeight="1">
      <c r="A1027" s="63" t="s">
        <v>2167</v>
      </c>
      <c r="B1027" s="63" t="s">
        <v>14</v>
      </c>
      <c r="C1027" s="63" t="s">
        <v>4253</v>
      </c>
      <c r="D1027" s="63" t="s">
        <v>4254</v>
      </c>
      <c r="E1027" s="63" t="s">
        <v>4255</v>
      </c>
      <c r="F1027" s="63" t="s">
        <v>3096</v>
      </c>
      <c r="G1027" s="63" t="s">
        <v>4256</v>
      </c>
      <c r="H1027" s="63" t="s">
        <v>18</v>
      </c>
      <c r="I1027" s="63" t="s">
        <v>802</v>
      </c>
    </row>
    <row r="1028" ht="11.25" customHeight="1">
      <c r="A1028" s="63" t="s">
        <v>2167</v>
      </c>
      <c r="B1028" s="63" t="s">
        <v>14</v>
      </c>
      <c r="C1028" s="63" t="s">
        <v>4261</v>
      </c>
      <c r="D1028" s="63" t="s">
        <v>4258</v>
      </c>
      <c r="E1028" s="63" t="s">
        <v>4262</v>
      </c>
      <c r="F1028" s="63" t="s">
        <v>3080</v>
      </c>
      <c r="G1028" s="63" t="s">
        <v>18</v>
      </c>
      <c r="H1028" s="63" t="s">
        <v>18</v>
      </c>
      <c r="I1028" s="63" t="s">
        <v>802</v>
      </c>
    </row>
    <row r="1029" ht="11.25" customHeight="1">
      <c r="A1029" s="63" t="s">
        <v>2167</v>
      </c>
      <c r="B1029" s="63" t="s">
        <v>14</v>
      </c>
      <c r="C1029" s="63" t="s">
        <v>4689</v>
      </c>
      <c r="D1029" s="63" t="s">
        <v>4690</v>
      </c>
      <c r="E1029" s="63" t="s">
        <v>4691</v>
      </c>
      <c r="F1029" s="63" t="s">
        <v>3845</v>
      </c>
      <c r="G1029" s="63" t="s">
        <v>4273</v>
      </c>
      <c r="H1029" s="63" t="s">
        <v>18</v>
      </c>
      <c r="I1029" s="63" t="s">
        <v>802</v>
      </c>
    </row>
    <row r="1030" ht="11.25" customHeight="1">
      <c r="A1030" s="63" t="s">
        <v>2167</v>
      </c>
      <c r="B1030" s="63" t="s">
        <v>14</v>
      </c>
      <c r="C1030" s="63" t="s">
        <v>4692</v>
      </c>
      <c r="D1030" s="63" t="s">
        <v>4690</v>
      </c>
      <c r="E1030" s="63" t="s">
        <v>4693</v>
      </c>
      <c r="F1030" s="63" t="s">
        <v>2522</v>
      </c>
      <c r="G1030" s="63" t="s">
        <v>4265</v>
      </c>
      <c r="H1030" s="63" t="s">
        <v>18</v>
      </c>
      <c r="I1030" s="63" t="s">
        <v>802</v>
      </c>
    </row>
    <row r="1031" ht="11.25" customHeight="1">
      <c r="A1031" s="63" t="s">
        <v>2167</v>
      </c>
      <c r="B1031" s="63" t="s">
        <v>14</v>
      </c>
      <c r="C1031" s="63" t="s">
        <v>4274</v>
      </c>
      <c r="D1031" s="63" t="s">
        <v>4275</v>
      </c>
      <c r="E1031" s="63" t="s">
        <v>4276</v>
      </c>
      <c r="F1031" s="63" t="s">
        <v>3845</v>
      </c>
      <c r="G1031" s="63" t="s">
        <v>18</v>
      </c>
      <c r="H1031" s="63" t="s">
        <v>18</v>
      </c>
      <c r="I1031" s="63" t="s">
        <v>802</v>
      </c>
    </row>
    <row r="1032" ht="11.25" customHeight="1">
      <c r="A1032" s="63" t="s">
        <v>2167</v>
      </c>
      <c r="B1032" s="63" t="s">
        <v>14</v>
      </c>
      <c r="C1032" s="63" t="s">
        <v>4285</v>
      </c>
      <c r="D1032" s="63" t="s">
        <v>4286</v>
      </c>
      <c r="E1032" s="63" t="s">
        <v>4287</v>
      </c>
      <c r="F1032" s="63" t="s">
        <v>3274</v>
      </c>
      <c r="G1032" s="63" t="s">
        <v>18</v>
      </c>
      <c r="H1032" s="63" t="s">
        <v>18</v>
      </c>
      <c r="I1032" s="63" t="s">
        <v>802</v>
      </c>
    </row>
    <row r="1033" ht="11.25" customHeight="1">
      <c r="A1033" s="63" t="s">
        <v>2167</v>
      </c>
      <c r="B1033" s="63" t="s">
        <v>14</v>
      </c>
      <c r="C1033" s="63" t="s">
        <v>4694</v>
      </c>
      <c r="D1033" s="63" t="s">
        <v>4695</v>
      </c>
      <c r="E1033" s="63" t="s">
        <v>4696</v>
      </c>
      <c r="F1033" s="63" t="s">
        <v>4697</v>
      </c>
      <c r="G1033" s="63" t="s">
        <v>4698</v>
      </c>
      <c r="H1033" s="63" t="s">
        <v>18</v>
      </c>
      <c r="I1033" s="63" t="s">
        <v>802</v>
      </c>
    </row>
    <row r="1034" ht="11.25" customHeight="1">
      <c r="A1034" s="63" t="s">
        <v>2167</v>
      </c>
      <c r="B1034" s="63" t="s">
        <v>14</v>
      </c>
      <c r="C1034" s="63" t="s">
        <v>4699</v>
      </c>
      <c r="D1034" s="63" t="s">
        <v>4700</v>
      </c>
      <c r="E1034" s="63" t="s">
        <v>4701</v>
      </c>
      <c r="F1034" s="63" t="s">
        <v>2222</v>
      </c>
      <c r="G1034" s="63" t="s">
        <v>18</v>
      </c>
      <c r="H1034" s="63" t="s">
        <v>18</v>
      </c>
      <c r="I1034" s="63" t="s">
        <v>802</v>
      </c>
    </row>
    <row r="1035" ht="11.25" customHeight="1">
      <c r="A1035" s="63" t="s">
        <v>2167</v>
      </c>
      <c r="B1035" s="63" t="s">
        <v>14</v>
      </c>
      <c r="C1035" s="63" t="s">
        <v>4305</v>
      </c>
      <c r="D1035" s="63" t="s">
        <v>4306</v>
      </c>
      <c r="E1035" s="63" t="s">
        <v>4307</v>
      </c>
      <c r="F1035" s="63" t="s">
        <v>2222</v>
      </c>
      <c r="G1035" s="63" t="s">
        <v>4308</v>
      </c>
      <c r="H1035" s="63" t="s">
        <v>18</v>
      </c>
      <c r="I1035" s="63" t="s">
        <v>802</v>
      </c>
    </row>
    <row r="1036" ht="11.25" customHeight="1">
      <c r="A1036" s="63" t="s">
        <v>2167</v>
      </c>
      <c r="B1036" s="63" t="s">
        <v>14</v>
      </c>
      <c r="C1036" s="63" t="s">
        <v>4312</v>
      </c>
      <c r="D1036" s="63" t="s">
        <v>4313</v>
      </c>
      <c r="E1036" s="63" t="s">
        <v>4314</v>
      </c>
      <c r="F1036" s="63" t="s">
        <v>2626</v>
      </c>
      <c r="G1036" s="63" t="s">
        <v>18</v>
      </c>
      <c r="H1036" s="63" t="s">
        <v>18</v>
      </c>
      <c r="I1036" s="63" t="s">
        <v>802</v>
      </c>
    </row>
    <row r="1037" ht="11.25" customHeight="1">
      <c r="A1037" s="63" t="s">
        <v>2167</v>
      </c>
      <c r="B1037" s="63" t="s">
        <v>14</v>
      </c>
      <c r="C1037" s="63" t="s">
        <v>4702</v>
      </c>
      <c r="D1037" s="63" t="s">
        <v>4703</v>
      </c>
      <c r="E1037" s="63" t="s">
        <v>4704</v>
      </c>
      <c r="F1037" s="63" t="s">
        <v>2550</v>
      </c>
      <c r="G1037" s="63" t="s">
        <v>4705</v>
      </c>
      <c r="H1037" s="63" t="s">
        <v>18</v>
      </c>
      <c r="I1037" s="63" t="s">
        <v>802</v>
      </c>
    </row>
    <row r="1038" ht="11.25" customHeight="1">
      <c r="A1038" s="63" t="s">
        <v>2167</v>
      </c>
      <c r="B1038" s="63" t="s">
        <v>14</v>
      </c>
      <c r="C1038" s="63" t="s">
        <v>4315</v>
      </c>
      <c r="D1038" s="63" t="s">
        <v>4316</v>
      </c>
      <c r="E1038" s="63" t="s">
        <v>4317</v>
      </c>
      <c r="F1038" s="63" t="s">
        <v>2602</v>
      </c>
      <c r="G1038" s="63" t="s">
        <v>4318</v>
      </c>
      <c r="H1038" s="63" t="s">
        <v>18</v>
      </c>
      <c r="I1038" s="63" t="s">
        <v>802</v>
      </c>
    </row>
    <row r="1039" ht="11.25" customHeight="1">
      <c r="A1039" s="63" t="s">
        <v>2167</v>
      </c>
      <c r="B1039" s="63" t="s">
        <v>14</v>
      </c>
      <c r="C1039" s="63" t="s">
        <v>4319</v>
      </c>
      <c r="D1039" s="63" t="s">
        <v>4320</v>
      </c>
      <c r="E1039" s="63" t="s">
        <v>4321</v>
      </c>
      <c r="F1039" s="63" t="s">
        <v>2245</v>
      </c>
      <c r="G1039" s="63" t="s">
        <v>4322</v>
      </c>
      <c r="H1039" s="63" t="s">
        <v>18</v>
      </c>
      <c r="I1039" s="63" t="s">
        <v>802</v>
      </c>
    </row>
    <row r="1040" ht="11.25" customHeight="1">
      <c r="A1040" s="63" t="s">
        <v>2167</v>
      </c>
      <c r="B1040" s="63" t="s">
        <v>14</v>
      </c>
      <c r="C1040" s="63" t="s">
        <v>4323</v>
      </c>
      <c r="D1040" s="63" t="s">
        <v>4324</v>
      </c>
      <c r="E1040" s="63" t="s">
        <v>4325</v>
      </c>
      <c r="F1040" s="63" t="s">
        <v>2602</v>
      </c>
      <c r="G1040" s="63" t="s">
        <v>4318</v>
      </c>
      <c r="H1040" s="63" t="s">
        <v>18</v>
      </c>
      <c r="I1040" s="63" t="s">
        <v>802</v>
      </c>
    </row>
    <row r="1041" ht="11.25" customHeight="1">
      <c r="A1041" s="63" t="s">
        <v>2167</v>
      </c>
      <c r="B1041" s="63" t="s">
        <v>14</v>
      </c>
      <c r="C1041" s="63" t="s">
        <v>4332</v>
      </c>
      <c r="D1041" s="63" t="s">
        <v>4333</v>
      </c>
      <c r="E1041" s="63" t="s">
        <v>4334</v>
      </c>
      <c r="F1041" s="63" t="s">
        <v>2218</v>
      </c>
      <c r="G1041" s="63" t="s">
        <v>4335</v>
      </c>
      <c r="H1041" s="63" t="s">
        <v>18</v>
      </c>
      <c r="I1041" s="63" t="s">
        <v>802</v>
      </c>
    </row>
    <row r="1042" ht="11.25" customHeight="1">
      <c r="A1042" s="63" t="s">
        <v>2167</v>
      </c>
      <c r="B1042" s="63" t="s">
        <v>14</v>
      </c>
      <c r="C1042" s="63" t="s">
        <v>4336</v>
      </c>
      <c r="D1042" s="63" t="s">
        <v>4337</v>
      </c>
      <c r="E1042" s="63" t="s">
        <v>4338</v>
      </c>
      <c r="F1042" s="63" t="s">
        <v>2218</v>
      </c>
      <c r="G1042" s="63" t="s">
        <v>18</v>
      </c>
      <c r="H1042" s="63" t="s">
        <v>18</v>
      </c>
      <c r="I1042" s="63" t="s">
        <v>802</v>
      </c>
    </row>
    <row r="1043" ht="11.25" customHeight="1">
      <c r="A1043" s="63" t="s">
        <v>2167</v>
      </c>
      <c r="B1043" s="63" t="s">
        <v>14</v>
      </c>
      <c r="C1043" s="63" t="s">
        <v>4339</v>
      </c>
      <c r="D1043" s="63" t="s">
        <v>4340</v>
      </c>
      <c r="E1043" s="63" t="s">
        <v>4341</v>
      </c>
      <c r="F1043" s="63" t="s">
        <v>2218</v>
      </c>
      <c r="G1043" s="63" t="s">
        <v>4342</v>
      </c>
      <c r="H1043" s="63" t="s">
        <v>18</v>
      </c>
      <c r="I1043" s="63" t="s">
        <v>802</v>
      </c>
    </row>
    <row r="1044" ht="11.25" customHeight="1">
      <c r="A1044" s="63" t="s">
        <v>2167</v>
      </c>
      <c r="B1044" s="63" t="s">
        <v>14</v>
      </c>
      <c r="C1044" s="63" t="s">
        <v>4706</v>
      </c>
      <c r="D1044" s="63" t="s">
        <v>4707</v>
      </c>
      <c r="E1044" s="63" t="s">
        <v>4708</v>
      </c>
      <c r="F1044" s="63" t="s">
        <v>2522</v>
      </c>
      <c r="G1044" s="63" t="s">
        <v>3720</v>
      </c>
      <c r="H1044" s="63" t="s">
        <v>18</v>
      </c>
      <c r="I1044" s="63" t="s">
        <v>802</v>
      </c>
    </row>
    <row r="1045" ht="11.25" customHeight="1">
      <c r="A1045" s="63" t="s">
        <v>2167</v>
      </c>
      <c r="B1045" s="63" t="s">
        <v>14</v>
      </c>
      <c r="C1045" s="63" t="s">
        <v>4343</v>
      </c>
      <c r="D1045" s="63" t="s">
        <v>4344</v>
      </c>
      <c r="E1045" s="63" t="s">
        <v>4338</v>
      </c>
      <c r="F1045" s="63" t="s">
        <v>2222</v>
      </c>
      <c r="G1045" s="63" t="s">
        <v>4345</v>
      </c>
      <c r="H1045" s="63" t="s">
        <v>18</v>
      </c>
      <c r="I1045" s="63" t="s">
        <v>802</v>
      </c>
    </row>
    <row r="1046" ht="11.25" customHeight="1">
      <c r="A1046" s="63" t="s">
        <v>2167</v>
      </c>
      <c r="B1046" s="63" t="s">
        <v>14</v>
      </c>
      <c r="C1046" s="63" t="s">
        <v>4346</v>
      </c>
      <c r="D1046" s="63" t="s">
        <v>4347</v>
      </c>
      <c r="E1046" s="63" t="s">
        <v>4348</v>
      </c>
      <c r="F1046" s="63" t="s">
        <v>2759</v>
      </c>
      <c r="G1046" s="63" t="s">
        <v>4349</v>
      </c>
      <c r="H1046" s="63" t="s">
        <v>18</v>
      </c>
      <c r="I1046" s="63" t="s">
        <v>802</v>
      </c>
    </row>
    <row r="1047" ht="11.25" customHeight="1">
      <c r="A1047" s="63" t="s">
        <v>2167</v>
      </c>
      <c r="B1047" s="63" t="s">
        <v>14</v>
      </c>
      <c r="C1047" s="63" t="s">
        <v>4350</v>
      </c>
      <c r="D1047" s="63" t="s">
        <v>4347</v>
      </c>
      <c r="E1047" s="63" t="s">
        <v>4351</v>
      </c>
      <c r="F1047" s="63" t="s">
        <v>2522</v>
      </c>
      <c r="G1047" s="63" t="s">
        <v>18</v>
      </c>
      <c r="H1047" s="63" t="s">
        <v>18</v>
      </c>
      <c r="I1047" s="63" t="s">
        <v>802</v>
      </c>
    </row>
    <row r="1048" ht="11.25" customHeight="1">
      <c r="A1048" s="63" t="s">
        <v>2167</v>
      </c>
      <c r="B1048" s="63" t="s">
        <v>14</v>
      </c>
      <c r="C1048" s="63" t="s">
        <v>4709</v>
      </c>
      <c r="D1048" s="63" t="s">
        <v>4353</v>
      </c>
      <c r="E1048" s="63" t="s">
        <v>4710</v>
      </c>
      <c r="F1048" s="63" t="s">
        <v>2656</v>
      </c>
      <c r="G1048" s="63" t="s">
        <v>4711</v>
      </c>
      <c r="H1048" s="63" t="s">
        <v>18</v>
      </c>
      <c r="I1048" s="63" t="s">
        <v>802</v>
      </c>
    </row>
    <row r="1049" ht="11.25" customHeight="1">
      <c r="A1049" s="63" t="s">
        <v>2167</v>
      </c>
      <c r="B1049" s="63" t="s">
        <v>14</v>
      </c>
      <c r="C1049" s="63" t="s">
        <v>4356</v>
      </c>
      <c r="D1049" s="63" t="s">
        <v>4353</v>
      </c>
      <c r="E1049" s="63" t="s">
        <v>4357</v>
      </c>
      <c r="F1049" s="63" t="s">
        <v>2626</v>
      </c>
      <c r="G1049" s="63" t="s">
        <v>4358</v>
      </c>
      <c r="H1049" s="63" t="s">
        <v>18</v>
      </c>
      <c r="I1049" s="63" t="s">
        <v>802</v>
      </c>
    </row>
    <row r="1050" ht="11.25" customHeight="1">
      <c r="A1050" s="63" t="s">
        <v>2167</v>
      </c>
      <c r="B1050" s="63" t="s">
        <v>14</v>
      </c>
      <c r="C1050" s="63" t="s">
        <v>4359</v>
      </c>
      <c r="D1050" s="63" t="s">
        <v>4360</v>
      </c>
      <c r="E1050" s="63" t="s">
        <v>4361</v>
      </c>
      <c r="F1050" s="63" t="s">
        <v>2185</v>
      </c>
      <c r="G1050" s="63" t="s">
        <v>18</v>
      </c>
      <c r="H1050" s="63" t="s">
        <v>18</v>
      </c>
      <c r="I1050" s="63" t="s">
        <v>802</v>
      </c>
    </row>
    <row r="1051" ht="11.25" customHeight="1">
      <c r="A1051" s="63" t="s">
        <v>2167</v>
      </c>
      <c r="B1051" s="63" t="s">
        <v>14</v>
      </c>
      <c r="C1051" s="63" t="s">
        <v>4362</v>
      </c>
      <c r="D1051" s="63" t="s">
        <v>4363</v>
      </c>
      <c r="E1051" s="63" t="s">
        <v>4364</v>
      </c>
      <c r="F1051" s="63" t="s">
        <v>2598</v>
      </c>
      <c r="G1051" s="63" t="s">
        <v>4365</v>
      </c>
      <c r="H1051" s="63" t="s">
        <v>18</v>
      </c>
      <c r="I1051" s="63" t="s">
        <v>802</v>
      </c>
    </row>
    <row r="1052" ht="11.25" customHeight="1">
      <c r="A1052" s="63" t="s">
        <v>2167</v>
      </c>
      <c r="B1052" s="63" t="s">
        <v>14</v>
      </c>
      <c r="C1052" s="63" t="s">
        <v>4366</v>
      </c>
      <c r="D1052" s="63" t="s">
        <v>4367</v>
      </c>
      <c r="E1052" s="63" t="s">
        <v>4368</v>
      </c>
      <c r="F1052" s="63" t="s">
        <v>2218</v>
      </c>
      <c r="G1052" s="63" t="s">
        <v>4369</v>
      </c>
      <c r="H1052" s="63" t="s">
        <v>18</v>
      </c>
      <c r="I1052" s="63" t="s">
        <v>802</v>
      </c>
    </row>
    <row r="1053" ht="11.25" customHeight="1">
      <c r="A1053" s="63" t="s">
        <v>2167</v>
      </c>
      <c r="B1053" s="63" t="s">
        <v>14</v>
      </c>
      <c r="C1053" s="63" t="s">
        <v>4712</v>
      </c>
      <c r="D1053" s="63" t="s">
        <v>4713</v>
      </c>
      <c r="E1053" s="63" t="s">
        <v>4714</v>
      </c>
      <c r="F1053" s="63" t="s">
        <v>3096</v>
      </c>
      <c r="G1053" s="63" t="s">
        <v>18</v>
      </c>
      <c r="H1053" s="63" t="s">
        <v>18</v>
      </c>
      <c r="I1053" s="63" t="s">
        <v>802</v>
      </c>
    </row>
    <row r="1054" ht="11.25" customHeight="1">
      <c r="A1054" s="63" t="s">
        <v>2167</v>
      </c>
      <c r="B1054" s="63" t="s">
        <v>14</v>
      </c>
      <c r="C1054" s="63" t="s">
        <v>4715</v>
      </c>
      <c r="D1054" s="63" t="s">
        <v>4716</v>
      </c>
      <c r="E1054" s="63" t="s">
        <v>4717</v>
      </c>
      <c r="F1054" s="63" t="s">
        <v>2303</v>
      </c>
      <c r="G1054" s="63" t="s">
        <v>4718</v>
      </c>
      <c r="H1054" s="63" t="s">
        <v>18</v>
      </c>
      <c r="I1054" s="63" t="s">
        <v>802</v>
      </c>
    </row>
    <row r="1055" ht="11.25" customHeight="1">
      <c r="A1055" s="63" t="s">
        <v>2167</v>
      </c>
      <c r="B1055" s="63" t="s">
        <v>14</v>
      </c>
      <c r="C1055" s="63" t="s">
        <v>4374</v>
      </c>
      <c r="D1055" s="63" t="s">
        <v>4375</v>
      </c>
      <c r="E1055" s="63" t="s">
        <v>4376</v>
      </c>
      <c r="F1055" s="63" t="s">
        <v>2602</v>
      </c>
      <c r="G1055" s="63" t="s">
        <v>4377</v>
      </c>
      <c r="H1055" s="63" t="s">
        <v>18</v>
      </c>
      <c r="I1055" s="63" t="s">
        <v>802</v>
      </c>
    </row>
    <row r="1056" ht="11.25" customHeight="1">
      <c r="A1056" s="63" t="s">
        <v>2167</v>
      </c>
      <c r="B1056" s="63" t="s">
        <v>14</v>
      </c>
      <c r="C1056" s="63" t="s">
        <v>2879</v>
      </c>
      <c r="D1056" s="63" t="s">
        <v>2880</v>
      </c>
      <c r="E1056" s="63" t="s">
        <v>2881</v>
      </c>
      <c r="F1056" s="63" t="s">
        <v>2176</v>
      </c>
      <c r="G1056" s="63" t="s">
        <v>2882</v>
      </c>
      <c r="H1056" s="63" t="s">
        <v>18</v>
      </c>
      <c r="I1056" s="63" t="s">
        <v>802</v>
      </c>
    </row>
    <row r="1057" ht="11.25" customHeight="1">
      <c r="A1057" s="63" t="s">
        <v>2167</v>
      </c>
      <c r="B1057" s="63" t="s">
        <v>14</v>
      </c>
      <c r="C1057" s="63" t="s">
        <v>2887</v>
      </c>
      <c r="D1057" s="63" t="s">
        <v>2888</v>
      </c>
      <c r="E1057" s="63" t="s">
        <v>2889</v>
      </c>
      <c r="F1057" s="63" t="s">
        <v>2171</v>
      </c>
      <c r="G1057" s="63" t="s">
        <v>2890</v>
      </c>
      <c r="H1057" s="63" t="s">
        <v>18</v>
      </c>
      <c r="I1057" s="63" t="s">
        <v>802</v>
      </c>
    </row>
    <row r="1058" ht="11.25" customHeight="1">
      <c r="A1058" s="63" t="s">
        <v>2167</v>
      </c>
      <c r="B1058" s="63" t="s">
        <v>14</v>
      </c>
      <c r="C1058" s="63" t="s">
        <v>4397</v>
      </c>
      <c r="D1058" s="63" t="s">
        <v>4398</v>
      </c>
      <c r="E1058" s="63" t="s">
        <v>4399</v>
      </c>
      <c r="F1058" s="63" t="s">
        <v>2249</v>
      </c>
      <c r="G1058" s="63" t="s">
        <v>4400</v>
      </c>
      <c r="H1058" s="63" t="s">
        <v>18</v>
      </c>
      <c r="I1058" s="63" t="s">
        <v>802</v>
      </c>
    </row>
    <row r="1059" ht="11.25" customHeight="1">
      <c r="A1059" s="63" t="s">
        <v>2167</v>
      </c>
      <c r="B1059" s="63" t="s">
        <v>14</v>
      </c>
      <c r="C1059" s="63" t="s">
        <v>4719</v>
      </c>
      <c r="D1059" s="63" t="s">
        <v>4720</v>
      </c>
      <c r="E1059" s="63" t="s">
        <v>4721</v>
      </c>
      <c r="F1059" s="63" t="s">
        <v>4722</v>
      </c>
      <c r="G1059" s="63" t="s">
        <v>4723</v>
      </c>
      <c r="H1059" s="63" t="s">
        <v>18</v>
      </c>
      <c r="I1059" s="63" t="s">
        <v>802</v>
      </c>
    </row>
    <row r="1060" ht="11.25" customHeight="1">
      <c r="A1060" s="63" t="s">
        <v>2167</v>
      </c>
      <c r="B1060" s="63" t="s">
        <v>14</v>
      </c>
      <c r="C1060" s="63" t="s">
        <v>4406</v>
      </c>
      <c r="D1060" s="63" t="s">
        <v>4407</v>
      </c>
      <c r="E1060" s="63" t="s">
        <v>4408</v>
      </c>
      <c r="F1060" s="63" t="s">
        <v>2218</v>
      </c>
      <c r="G1060" s="63" t="s">
        <v>4409</v>
      </c>
      <c r="H1060" s="63" t="s">
        <v>18</v>
      </c>
      <c r="I1060" s="63" t="s">
        <v>802</v>
      </c>
    </row>
    <row r="1061" ht="11.25" customHeight="1">
      <c r="A1061" s="63" t="s">
        <v>2167</v>
      </c>
      <c r="B1061" s="63" t="s">
        <v>14</v>
      </c>
      <c r="C1061" s="63" t="s">
        <v>4410</v>
      </c>
      <c r="D1061" s="63" t="s">
        <v>4411</v>
      </c>
      <c r="E1061" s="63" t="s">
        <v>4412</v>
      </c>
      <c r="F1061" s="63" t="s">
        <v>2506</v>
      </c>
      <c r="G1061" s="63" t="s">
        <v>4413</v>
      </c>
      <c r="H1061" s="63" t="s">
        <v>18</v>
      </c>
      <c r="I1061" s="63" t="s">
        <v>802</v>
      </c>
    </row>
    <row r="1062" ht="11.25" customHeight="1">
      <c r="A1062" s="63" t="s">
        <v>2167</v>
      </c>
      <c r="B1062" s="63" t="s">
        <v>14</v>
      </c>
      <c r="C1062" s="63" t="s">
        <v>4724</v>
      </c>
      <c r="D1062" s="63" t="s">
        <v>4725</v>
      </c>
      <c r="E1062" s="63" t="s">
        <v>4726</v>
      </c>
      <c r="F1062" s="63" t="s">
        <v>2176</v>
      </c>
      <c r="G1062" s="63" t="s">
        <v>4727</v>
      </c>
      <c r="H1062" s="63" t="s">
        <v>18</v>
      </c>
      <c r="I1062" s="63" t="s">
        <v>802</v>
      </c>
    </row>
    <row r="1063" ht="11.25" customHeight="1">
      <c r="A1063" s="63" t="s">
        <v>2167</v>
      </c>
      <c r="B1063" s="63" t="s">
        <v>14</v>
      </c>
      <c r="C1063" s="63" t="s">
        <v>4414</v>
      </c>
      <c r="D1063" s="63" t="s">
        <v>4415</v>
      </c>
      <c r="E1063" s="63" t="s">
        <v>4416</v>
      </c>
      <c r="F1063" s="63" t="s">
        <v>2171</v>
      </c>
      <c r="G1063" s="63" t="s">
        <v>4417</v>
      </c>
      <c r="H1063" s="63" t="s">
        <v>18</v>
      </c>
      <c r="I1063" s="63" t="s">
        <v>802</v>
      </c>
    </row>
    <row r="1064" ht="11.25" customHeight="1">
      <c r="A1064" s="63" t="s">
        <v>2167</v>
      </c>
      <c r="B1064" s="63" t="s">
        <v>14</v>
      </c>
      <c r="C1064" s="63" t="s">
        <v>2962</v>
      </c>
      <c r="D1064" s="63" t="s">
        <v>2963</v>
      </c>
      <c r="E1064" s="63" t="s">
        <v>2964</v>
      </c>
      <c r="F1064" s="63" t="s">
        <v>2311</v>
      </c>
      <c r="G1064" s="63" t="s">
        <v>2965</v>
      </c>
      <c r="H1064" s="63" t="s">
        <v>18</v>
      </c>
      <c r="I1064" s="63" t="s">
        <v>802</v>
      </c>
    </row>
    <row r="1065" ht="11.25" customHeight="1">
      <c r="A1065" s="63" t="s">
        <v>2167</v>
      </c>
      <c r="B1065" s="63" t="s">
        <v>14</v>
      </c>
      <c r="C1065" s="63" t="s">
        <v>4429</v>
      </c>
      <c r="D1065" s="63" t="s">
        <v>4430</v>
      </c>
      <c r="E1065" s="63" t="s">
        <v>4431</v>
      </c>
      <c r="F1065" s="63" t="s">
        <v>2171</v>
      </c>
      <c r="G1065" s="63" t="s">
        <v>4432</v>
      </c>
      <c r="H1065" s="63" t="s">
        <v>18</v>
      </c>
      <c r="I1065" s="63" t="s">
        <v>802</v>
      </c>
    </row>
    <row r="1066" ht="11.25" customHeight="1">
      <c r="A1066" s="63" t="s">
        <v>2167</v>
      </c>
      <c r="B1066" s="63" t="s">
        <v>14</v>
      </c>
      <c r="C1066" s="63" t="s">
        <v>4433</v>
      </c>
      <c r="D1066" s="63" t="s">
        <v>4434</v>
      </c>
      <c r="E1066" s="63" t="s">
        <v>4435</v>
      </c>
      <c r="F1066" s="63" t="s">
        <v>2557</v>
      </c>
      <c r="G1066" s="63" t="s">
        <v>18</v>
      </c>
      <c r="H1066" s="63" t="s">
        <v>18</v>
      </c>
      <c r="I1066" s="63" t="s">
        <v>802</v>
      </c>
    </row>
    <row r="1067" ht="11.25" customHeight="1">
      <c r="A1067" s="63" t="s">
        <v>2167</v>
      </c>
      <c r="B1067" s="63" t="s">
        <v>14</v>
      </c>
      <c r="C1067" s="63" t="s">
        <v>4440</v>
      </c>
      <c r="D1067" s="63" t="s">
        <v>4441</v>
      </c>
      <c r="E1067" s="63" t="s">
        <v>4442</v>
      </c>
      <c r="F1067" s="63" t="s">
        <v>4443</v>
      </c>
      <c r="G1067" s="63" t="s">
        <v>4444</v>
      </c>
      <c r="H1067" s="63" t="s">
        <v>18</v>
      </c>
      <c r="I1067" s="63" t="s">
        <v>802</v>
      </c>
    </row>
    <row r="1068" ht="11.25" customHeight="1">
      <c r="A1068" s="63" t="s">
        <v>2167</v>
      </c>
      <c r="B1068" s="63" t="s">
        <v>14</v>
      </c>
      <c r="C1068" s="63" t="s">
        <v>4728</v>
      </c>
      <c r="D1068" s="63" t="s">
        <v>4729</v>
      </c>
      <c r="E1068" s="63" t="s">
        <v>4730</v>
      </c>
      <c r="F1068" s="63" t="s">
        <v>2307</v>
      </c>
      <c r="G1068" s="63" t="s">
        <v>3291</v>
      </c>
      <c r="H1068" s="63" t="s">
        <v>18</v>
      </c>
      <c r="I1068" s="63" t="s">
        <v>802</v>
      </c>
    </row>
    <row r="1069" ht="11.25" customHeight="1">
      <c r="A1069" s="63" t="s">
        <v>2167</v>
      </c>
      <c r="B1069" s="63" t="s">
        <v>14</v>
      </c>
      <c r="C1069" s="63" t="s">
        <v>3002</v>
      </c>
      <c r="D1069" s="63" t="s">
        <v>3003</v>
      </c>
      <c r="E1069" s="63" t="s">
        <v>3004</v>
      </c>
      <c r="F1069" s="63" t="s">
        <v>3005</v>
      </c>
      <c r="G1069" s="63" t="s">
        <v>18</v>
      </c>
      <c r="H1069" s="63" t="s">
        <v>18</v>
      </c>
      <c r="I1069" s="63" t="s">
        <v>802</v>
      </c>
    </row>
    <row r="1070" ht="11.25" customHeight="1">
      <c r="A1070" s="63" t="s">
        <v>2167</v>
      </c>
      <c r="B1070" s="63" t="s">
        <v>14</v>
      </c>
      <c r="C1070" s="63" t="s">
        <v>4445</v>
      </c>
      <c r="D1070" s="63" t="s">
        <v>4446</v>
      </c>
      <c r="E1070" s="63" t="s">
        <v>4447</v>
      </c>
      <c r="F1070" s="63" t="s">
        <v>2557</v>
      </c>
      <c r="G1070" s="63" t="s">
        <v>4448</v>
      </c>
      <c r="H1070" s="63" t="s">
        <v>18</v>
      </c>
      <c r="I1070" s="63" t="s">
        <v>802</v>
      </c>
    </row>
    <row r="1071" ht="11.25" customHeight="1">
      <c r="A1071" s="63" t="s">
        <v>2167</v>
      </c>
      <c r="B1071" s="63" t="s">
        <v>14</v>
      </c>
      <c r="C1071" s="63" t="s">
        <v>4731</v>
      </c>
      <c r="D1071" s="63" t="s">
        <v>4732</v>
      </c>
      <c r="E1071" s="63" t="s">
        <v>4733</v>
      </c>
      <c r="F1071" s="63" t="s">
        <v>2557</v>
      </c>
      <c r="G1071" s="63" t="s">
        <v>4734</v>
      </c>
      <c r="H1071" s="63" t="s">
        <v>18</v>
      </c>
      <c r="I1071" s="63" t="s">
        <v>802</v>
      </c>
    </row>
    <row r="1072" ht="11.25" customHeight="1">
      <c r="A1072" s="63" t="s">
        <v>2167</v>
      </c>
      <c r="B1072" s="63" t="s">
        <v>14</v>
      </c>
      <c r="C1072" s="63" t="s">
        <v>3006</v>
      </c>
      <c r="D1072" s="63" t="s">
        <v>3007</v>
      </c>
      <c r="E1072" s="63" t="s">
        <v>3008</v>
      </c>
      <c r="F1072" s="63" t="s">
        <v>2210</v>
      </c>
      <c r="G1072" s="63" t="s">
        <v>3009</v>
      </c>
      <c r="H1072" s="63" t="s">
        <v>18</v>
      </c>
      <c r="I1072" s="63" t="s">
        <v>802</v>
      </c>
    </row>
    <row r="1073" ht="11.25" customHeight="1">
      <c r="A1073" s="63" t="s">
        <v>2167</v>
      </c>
      <c r="B1073" s="63" t="s">
        <v>14</v>
      </c>
      <c r="C1073" s="63" t="s">
        <v>4449</v>
      </c>
      <c r="D1073" s="63" t="s">
        <v>4450</v>
      </c>
      <c r="E1073" s="63" t="s">
        <v>4451</v>
      </c>
      <c r="F1073" s="63" t="s">
        <v>4452</v>
      </c>
      <c r="G1073" s="63" t="s">
        <v>4453</v>
      </c>
      <c r="H1073" s="63" t="s">
        <v>18</v>
      </c>
      <c r="I1073" s="63" t="s">
        <v>802</v>
      </c>
    </row>
    <row r="1074" ht="11.25" customHeight="1">
      <c r="A1074" s="63" t="s">
        <v>2167</v>
      </c>
      <c r="B1074" s="63" t="s">
        <v>14</v>
      </c>
      <c r="C1074" s="63" t="s">
        <v>4454</v>
      </c>
      <c r="D1074" s="63" t="s">
        <v>4455</v>
      </c>
      <c r="E1074" s="63" t="s">
        <v>4456</v>
      </c>
      <c r="F1074" s="63" t="s">
        <v>2291</v>
      </c>
      <c r="G1074" s="63" t="s">
        <v>18</v>
      </c>
      <c r="H1074" s="63" t="s">
        <v>18</v>
      </c>
      <c r="I1074" s="63" t="s">
        <v>802</v>
      </c>
    </row>
    <row r="1075" ht="11.25" customHeight="1">
      <c r="A1075" s="63" t="s">
        <v>2167</v>
      </c>
      <c r="B1075" s="63" t="s">
        <v>14</v>
      </c>
      <c r="C1075" s="63" t="s">
        <v>4467</v>
      </c>
      <c r="D1075" s="63" t="s">
        <v>4468</v>
      </c>
      <c r="E1075" s="63" t="s">
        <v>4469</v>
      </c>
      <c r="F1075" s="63" t="s">
        <v>2759</v>
      </c>
      <c r="G1075" s="63" t="s">
        <v>4470</v>
      </c>
      <c r="H1075" s="63" t="s">
        <v>18</v>
      </c>
      <c r="I1075" s="63" t="s">
        <v>802</v>
      </c>
    </row>
    <row r="1076" ht="11.25" customHeight="1">
      <c r="A1076" s="63" t="s">
        <v>2167</v>
      </c>
      <c r="B1076" s="63" t="s">
        <v>14</v>
      </c>
      <c r="C1076" s="63" t="s">
        <v>3133</v>
      </c>
      <c r="D1076" s="63" t="s">
        <v>3134</v>
      </c>
      <c r="E1076" s="63" t="s">
        <v>3135</v>
      </c>
      <c r="F1076" s="63" t="s">
        <v>2176</v>
      </c>
      <c r="G1076" s="63" t="s">
        <v>3136</v>
      </c>
      <c r="H1076" s="63" t="s">
        <v>18</v>
      </c>
      <c r="I1076" s="63" t="s">
        <v>802</v>
      </c>
    </row>
    <row r="1077" ht="11.25" customHeight="1">
      <c r="A1077" s="63" t="s">
        <v>2167</v>
      </c>
      <c r="B1077" s="63" t="s">
        <v>14</v>
      </c>
      <c r="C1077" s="63" t="s">
        <v>3137</v>
      </c>
      <c r="D1077" s="63" t="s">
        <v>3138</v>
      </c>
      <c r="E1077" s="63" t="s">
        <v>3139</v>
      </c>
      <c r="F1077" s="63" t="s">
        <v>2218</v>
      </c>
      <c r="G1077" s="63" t="s">
        <v>3140</v>
      </c>
      <c r="H1077" s="63" t="s">
        <v>18</v>
      </c>
      <c r="I1077" s="63" t="s">
        <v>802</v>
      </c>
    </row>
    <row r="1078" ht="11.25" customHeight="1">
      <c r="A1078" s="63" t="s">
        <v>2167</v>
      </c>
      <c r="B1078" s="63" t="s">
        <v>14</v>
      </c>
      <c r="C1078" s="63" t="s">
        <v>4481</v>
      </c>
      <c r="D1078" s="63" t="s">
        <v>4482</v>
      </c>
      <c r="E1078" s="63" t="s">
        <v>4483</v>
      </c>
      <c r="F1078" s="63" t="s">
        <v>4484</v>
      </c>
      <c r="G1078" s="63" t="s">
        <v>2998</v>
      </c>
      <c r="H1078" s="63" t="s">
        <v>18</v>
      </c>
      <c r="I1078" s="63" t="s">
        <v>802</v>
      </c>
    </row>
    <row r="1079" ht="11.25" customHeight="1">
      <c r="A1079" s="63" t="s">
        <v>2167</v>
      </c>
      <c r="B1079" s="63" t="s">
        <v>14</v>
      </c>
      <c r="C1079" s="63" t="s">
        <v>4735</v>
      </c>
      <c r="D1079" s="63" t="s">
        <v>4736</v>
      </c>
      <c r="E1079" s="63" t="s">
        <v>4737</v>
      </c>
      <c r="F1079" s="63" t="s">
        <v>2557</v>
      </c>
      <c r="G1079" s="63" t="s">
        <v>4738</v>
      </c>
      <c r="H1079" s="63" t="s">
        <v>18</v>
      </c>
      <c r="I1079" s="63" t="s">
        <v>802</v>
      </c>
    </row>
    <row r="1080" ht="11.25" customHeight="1">
      <c r="A1080" s="63" t="s">
        <v>2167</v>
      </c>
      <c r="B1080" s="63" t="s">
        <v>14</v>
      </c>
      <c r="C1080" s="63" t="s">
        <v>4485</v>
      </c>
      <c r="D1080" s="63" t="s">
        <v>4486</v>
      </c>
      <c r="E1080" s="63" t="s">
        <v>4487</v>
      </c>
      <c r="F1080" s="63" t="s">
        <v>2218</v>
      </c>
      <c r="G1080" s="63" t="s">
        <v>4488</v>
      </c>
      <c r="H1080" s="63" t="s">
        <v>18</v>
      </c>
      <c r="I1080" s="63" t="s">
        <v>802</v>
      </c>
    </row>
    <row r="1081" ht="11.25" customHeight="1">
      <c r="A1081" s="63" t="s">
        <v>2167</v>
      </c>
      <c r="B1081" s="63" t="s">
        <v>14</v>
      </c>
      <c r="C1081" s="63" t="s">
        <v>4739</v>
      </c>
      <c r="D1081" s="63" t="s">
        <v>4740</v>
      </c>
      <c r="E1081" s="63" t="s">
        <v>4741</v>
      </c>
      <c r="F1081" s="63" t="s">
        <v>2977</v>
      </c>
      <c r="G1081" s="63" t="s">
        <v>4742</v>
      </c>
      <c r="H1081" s="63" t="s">
        <v>18</v>
      </c>
      <c r="I1081" s="63" t="s">
        <v>802</v>
      </c>
    </row>
    <row r="1082" ht="11.25" customHeight="1">
      <c r="A1082" s="63" t="s">
        <v>2167</v>
      </c>
      <c r="B1082" s="63" t="s">
        <v>14</v>
      </c>
      <c r="C1082" s="63" t="s">
        <v>4493</v>
      </c>
      <c r="D1082" s="63" t="s">
        <v>4494</v>
      </c>
      <c r="E1082" s="63" t="s">
        <v>4495</v>
      </c>
      <c r="F1082" s="63" t="s">
        <v>2626</v>
      </c>
      <c r="G1082" s="63" t="s">
        <v>4496</v>
      </c>
      <c r="H1082" s="63" t="s">
        <v>18</v>
      </c>
      <c r="I1082" s="63" t="s">
        <v>802</v>
      </c>
    </row>
    <row r="1083" ht="11.25" customHeight="1">
      <c r="A1083" s="63" t="s">
        <v>2167</v>
      </c>
      <c r="B1083" s="63" t="s">
        <v>14</v>
      </c>
      <c r="C1083" s="63" t="s">
        <v>3170</v>
      </c>
      <c r="D1083" s="63" t="s">
        <v>3171</v>
      </c>
      <c r="E1083" s="63" t="s">
        <v>3172</v>
      </c>
      <c r="F1083" s="63" t="s">
        <v>2171</v>
      </c>
      <c r="G1083" s="63" t="s">
        <v>18</v>
      </c>
      <c r="H1083" s="63" t="s">
        <v>18</v>
      </c>
      <c r="I1083" s="63" t="s">
        <v>802</v>
      </c>
    </row>
    <row r="1084" ht="11.25" customHeight="1">
      <c r="A1084" s="63" t="s">
        <v>2167</v>
      </c>
      <c r="B1084" s="63" t="s">
        <v>14</v>
      </c>
      <c r="C1084" s="63" t="s">
        <v>4501</v>
      </c>
      <c r="D1084" s="63" t="s">
        <v>4502</v>
      </c>
      <c r="E1084" s="63" t="s">
        <v>4503</v>
      </c>
      <c r="F1084" s="63" t="s">
        <v>2171</v>
      </c>
      <c r="G1084" s="63" t="s">
        <v>4504</v>
      </c>
      <c r="H1084" s="63" t="s">
        <v>18</v>
      </c>
      <c r="I1084" s="63" t="s">
        <v>802</v>
      </c>
    </row>
    <row r="1085" ht="11.25" customHeight="1">
      <c r="A1085" s="63" t="s">
        <v>2167</v>
      </c>
      <c r="B1085" s="63" t="s">
        <v>14</v>
      </c>
      <c r="C1085" s="63" t="s">
        <v>4743</v>
      </c>
      <c r="D1085" s="63" t="s">
        <v>4744</v>
      </c>
      <c r="E1085" s="63" t="s">
        <v>4745</v>
      </c>
      <c r="F1085" s="63" t="s">
        <v>2171</v>
      </c>
      <c r="G1085" s="63" t="s">
        <v>4746</v>
      </c>
      <c r="H1085" s="63" t="s">
        <v>18</v>
      </c>
      <c r="I1085" s="63" t="s">
        <v>802</v>
      </c>
    </row>
    <row r="1086" ht="11.25" customHeight="1">
      <c r="A1086" s="63" t="s">
        <v>2167</v>
      </c>
      <c r="B1086" s="63" t="s">
        <v>14</v>
      </c>
      <c r="C1086" s="63" t="s">
        <v>4505</v>
      </c>
      <c r="D1086" s="63" t="s">
        <v>4506</v>
      </c>
      <c r="E1086" s="63" t="s">
        <v>4507</v>
      </c>
      <c r="F1086" s="63" t="s">
        <v>2171</v>
      </c>
      <c r="G1086" s="63" t="s">
        <v>4508</v>
      </c>
      <c r="H1086" s="63" t="s">
        <v>18</v>
      </c>
      <c r="I1086" s="63" t="s">
        <v>802</v>
      </c>
    </row>
    <row r="1087" ht="11.25" customHeight="1">
      <c r="A1087" s="63" t="s">
        <v>2167</v>
      </c>
      <c r="B1087" s="63" t="s">
        <v>14</v>
      </c>
      <c r="C1087" s="63" t="s">
        <v>3206</v>
      </c>
      <c r="D1087" s="63" t="s">
        <v>3207</v>
      </c>
      <c r="E1087" s="63" t="s">
        <v>3208</v>
      </c>
      <c r="F1087" s="63" t="s">
        <v>2185</v>
      </c>
      <c r="G1087" s="63" t="s">
        <v>18</v>
      </c>
      <c r="H1087" s="63" t="s">
        <v>18</v>
      </c>
      <c r="I1087" s="63" t="s">
        <v>802</v>
      </c>
    </row>
    <row r="1088" ht="11.25" customHeight="1">
      <c r="A1088" s="63" t="s">
        <v>2167</v>
      </c>
      <c r="B1088" s="63" t="s">
        <v>14</v>
      </c>
      <c r="C1088" s="63" t="s">
        <v>4509</v>
      </c>
      <c r="D1088" s="63" t="s">
        <v>4510</v>
      </c>
      <c r="E1088" s="63" t="s">
        <v>4511</v>
      </c>
      <c r="F1088" s="63" t="s">
        <v>2311</v>
      </c>
      <c r="G1088" s="63" t="s">
        <v>4512</v>
      </c>
      <c r="H1088" s="63" t="s">
        <v>18</v>
      </c>
      <c r="I1088" s="63" t="s">
        <v>802</v>
      </c>
    </row>
    <row r="1089" ht="11.25" customHeight="1">
      <c r="A1089" s="63" t="s">
        <v>2167</v>
      </c>
      <c r="B1089" s="63" t="s">
        <v>14</v>
      </c>
      <c r="C1089" s="63" t="s">
        <v>4513</v>
      </c>
      <c r="D1089" s="63" t="s">
        <v>4514</v>
      </c>
      <c r="E1089" s="63" t="s">
        <v>4515</v>
      </c>
      <c r="F1089" s="63" t="s">
        <v>2171</v>
      </c>
      <c r="G1089" s="63" t="s">
        <v>4516</v>
      </c>
      <c r="H1089" s="63" t="s">
        <v>18</v>
      </c>
      <c r="I1089" s="63" t="s">
        <v>802</v>
      </c>
    </row>
    <row r="1090" ht="11.25" customHeight="1">
      <c r="A1090" s="63" t="s">
        <v>2167</v>
      </c>
      <c r="B1090" s="63" t="s">
        <v>14</v>
      </c>
      <c r="C1090" s="63" t="s">
        <v>4521</v>
      </c>
      <c r="D1090" s="63" t="s">
        <v>4522</v>
      </c>
      <c r="E1090" s="63" t="s">
        <v>4523</v>
      </c>
      <c r="F1090" s="63" t="s">
        <v>2171</v>
      </c>
      <c r="G1090" s="63" t="s">
        <v>4524</v>
      </c>
      <c r="H1090" s="63" t="s">
        <v>18</v>
      </c>
      <c r="I1090" s="63" t="s">
        <v>802</v>
      </c>
    </row>
    <row r="1091" ht="11.25" customHeight="1">
      <c r="A1091" s="63" t="s">
        <v>2167</v>
      </c>
      <c r="B1091" s="63" t="s">
        <v>14</v>
      </c>
      <c r="C1091" s="63" t="s">
        <v>3213</v>
      </c>
      <c r="D1091" s="63" t="s">
        <v>3214</v>
      </c>
      <c r="E1091" s="63" t="s">
        <v>3215</v>
      </c>
      <c r="F1091" s="63" t="s">
        <v>2176</v>
      </c>
      <c r="G1091" s="63" t="s">
        <v>3216</v>
      </c>
      <c r="H1091" s="63" t="s">
        <v>18</v>
      </c>
      <c r="I1091" s="63" t="s">
        <v>802</v>
      </c>
    </row>
    <row r="1092" ht="11.25" customHeight="1">
      <c r="A1092" s="63" t="s">
        <v>2167</v>
      </c>
      <c r="B1092" s="63" t="s">
        <v>14</v>
      </c>
      <c r="C1092" s="63" t="s">
        <v>4747</v>
      </c>
      <c r="D1092" s="63" t="s">
        <v>4748</v>
      </c>
      <c r="E1092" s="63" t="s">
        <v>4749</v>
      </c>
      <c r="F1092" s="63" t="s">
        <v>2483</v>
      </c>
      <c r="G1092" s="63" t="s">
        <v>18</v>
      </c>
      <c r="H1092" s="63" t="s">
        <v>18</v>
      </c>
      <c r="I1092" s="63" t="s">
        <v>802</v>
      </c>
    </row>
    <row r="1093" ht="11.25" customHeight="1">
      <c r="A1093" s="63" t="s">
        <v>2167</v>
      </c>
      <c r="B1093" s="63" t="s">
        <v>14</v>
      </c>
      <c r="C1093" s="63" t="s">
        <v>4750</v>
      </c>
      <c r="D1093" s="63" t="s">
        <v>4751</v>
      </c>
      <c r="E1093" s="63" t="s">
        <v>4752</v>
      </c>
      <c r="F1093" s="63" t="s">
        <v>3055</v>
      </c>
      <c r="G1093" s="63" t="s">
        <v>18</v>
      </c>
      <c r="H1093" s="63" t="s">
        <v>18</v>
      </c>
      <c r="I1093" s="63" t="s">
        <v>802</v>
      </c>
    </row>
    <row r="1094" ht="11.25" customHeight="1">
      <c r="A1094" s="63" t="s">
        <v>2167</v>
      </c>
      <c r="B1094" s="63" t="s">
        <v>14</v>
      </c>
      <c r="C1094" s="63" t="s">
        <v>4753</v>
      </c>
      <c r="D1094" s="63" t="s">
        <v>4754</v>
      </c>
      <c r="E1094" s="63" t="s">
        <v>4755</v>
      </c>
      <c r="F1094" s="63" t="s">
        <v>2218</v>
      </c>
      <c r="G1094" s="63" t="s">
        <v>4756</v>
      </c>
      <c r="H1094" s="63" t="s">
        <v>18</v>
      </c>
      <c r="I1094" s="63" t="s">
        <v>802</v>
      </c>
    </row>
    <row r="1095" ht="11.25" customHeight="1">
      <c r="A1095" s="63" t="s">
        <v>2167</v>
      </c>
      <c r="B1095" s="63" t="s">
        <v>14</v>
      </c>
      <c r="C1095" s="63" t="s">
        <v>3444</v>
      </c>
      <c r="D1095" s="63" t="s">
        <v>3445</v>
      </c>
      <c r="E1095" s="63" t="s">
        <v>2198</v>
      </c>
      <c r="F1095" s="63" t="s">
        <v>3446</v>
      </c>
      <c r="G1095" s="63" t="s">
        <v>3447</v>
      </c>
      <c r="H1095" s="63" t="s">
        <v>18</v>
      </c>
      <c r="I1095" s="63" t="s">
        <v>802</v>
      </c>
    </row>
    <row r="1096" ht="11.25" customHeight="1">
      <c r="A1096" s="63" t="s">
        <v>2167</v>
      </c>
      <c r="B1096" s="63" t="s">
        <v>14</v>
      </c>
      <c r="C1096" s="63" t="s">
        <v>4532</v>
      </c>
      <c r="D1096" s="63" t="s">
        <v>4533</v>
      </c>
      <c r="E1096" s="63" t="s">
        <v>4534</v>
      </c>
      <c r="F1096" s="63" t="s">
        <v>2291</v>
      </c>
      <c r="G1096" s="63" t="s">
        <v>18</v>
      </c>
      <c r="H1096" s="63" t="s">
        <v>18</v>
      </c>
      <c r="I1096" s="63" t="s">
        <v>802</v>
      </c>
    </row>
    <row r="1097" ht="11.25" customHeight="1">
      <c r="A1097" s="63" t="s">
        <v>2167</v>
      </c>
      <c r="B1097" s="63" t="s">
        <v>14</v>
      </c>
      <c r="C1097" s="63" t="s">
        <v>4757</v>
      </c>
      <c r="D1097" s="63" t="s">
        <v>4758</v>
      </c>
      <c r="E1097" s="63" t="s">
        <v>4759</v>
      </c>
      <c r="F1097" s="63" t="s">
        <v>4760</v>
      </c>
      <c r="G1097" s="63" t="s">
        <v>4761</v>
      </c>
      <c r="H1097" s="63" t="s">
        <v>18</v>
      </c>
      <c r="I1097" s="63" t="s">
        <v>802</v>
      </c>
    </row>
    <row r="1098" ht="11.25" customHeight="1">
      <c r="A1098" s="63" t="s">
        <v>2167</v>
      </c>
      <c r="B1098" s="63" t="s">
        <v>14</v>
      </c>
      <c r="C1098" s="63" t="s">
        <v>4762</v>
      </c>
      <c r="D1098" s="63" t="s">
        <v>4763</v>
      </c>
      <c r="E1098" s="63" t="s">
        <v>4764</v>
      </c>
      <c r="F1098" s="63" t="s">
        <v>2538</v>
      </c>
      <c r="G1098" s="63" t="s">
        <v>2982</v>
      </c>
      <c r="H1098" s="63" t="s">
        <v>18</v>
      </c>
      <c r="I1098" s="63" t="s">
        <v>802</v>
      </c>
    </row>
    <row r="1099" ht="11.25" customHeight="1">
      <c r="A1099" s="63" t="s">
        <v>2167</v>
      </c>
      <c r="B1099" s="63" t="s">
        <v>14</v>
      </c>
      <c r="C1099" s="63" t="s">
        <v>3261</v>
      </c>
      <c r="D1099" s="63" t="s">
        <v>3262</v>
      </c>
      <c r="E1099" s="63" t="s">
        <v>3263</v>
      </c>
      <c r="F1099" s="63" t="s">
        <v>2249</v>
      </c>
      <c r="G1099" s="63" t="s">
        <v>18</v>
      </c>
      <c r="H1099" s="63" t="s">
        <v>18</v>
      </c>
      <c r="I1099" s="63" t="s">
        <v>802</v>
      </c>
    </row>
    <row r="1100" ht="11.25" customHeight="1">
      <c r="A1100" s="63" t="s">
        <v>2167</v>
      </c>
      <c r="B1100" s="63" t="s">
        <v>14</v>
      </c>
      <c r="C1100" s="63" t="s">
        <v>4538</v>
      </c>
      <c r="D1100" s="63" t="s">
        <v>4539</v>
      </c>
      <c r="E1100" s="63" t="s">
        <v>4540</v>
      </c>
      <c r="F1100" s="63" t="s">
        <v>3274</v>
      </c>
      <c r="G1100" s="63" t="s">
        <v>4541</v>
      </c>
      <c r="H1100" s="63" t="s">
        <v>18</v>
      </c>
      <c r="I1100" s="63" t="s">
        <v>802</v>
      </c>
    </row>
    <row r="1101" ht="11.25" customHeight="1">
      <c r="A1101" s="63" t="s">
        <v>2167</v>
      </c>
      <c r="B1101" s="63" t="s">
        <v>14</v>
      </c>
      <c r="C1101" s="63" t="s">
        <v>4542</v>
      </c>
      <c r="D1101" s="63" t="s">
        <v>4543</v>
      </c>
      <c r="E1101" s="63" t="s">
        <v>4544</v>
      </c>
      <c r="F1101" s="63" t="s">
        <v>4545</v>
      </c>
      <c r="G1101" s="63" t="s">
        <v>4546</v>
      </c>
      <c r="H1101" s="63" t="s">
        <v>18</v>
      </c>
      <c r="I1101" s="63" t="s">
        <v>802</v>
      </c>
    </row>
    <row r="1102" ht="11.25" customHeight="1">
      <c r="A1102" s="63" t="s">
        <v>2167</v>
      </c>
      <c r="B1102" s="63" t="s">
        <v>14</v>
      </c>
      <c r="C1102" s="63" t="s">
        <v>4547</v>
      </c>
      <c r="D1102" s="63" t="s">
        <v>4548</v>
      </c>
      <c r="E1102" s="63" t="s">
        <v>4549</v>
      </c>
      <c r="F1102" s="63" t="s">
        <v>2645</v>
      </c>
      <c r="G1102" s="63" t="s">
        <v>3691</v>
      </c>
      <c r="H1102" s="63" t="s">
        <v>18</v>
      </c>
      <c r="I1102" s="63" t="s">
        <v>802</v>
      </c>
    </row>
    <row r="1103" ht="11.25" customHeight="1">
      <c r="A1103" s="63" t="s">
        <v>2167</v>
      </c>
      <c r="B1103" s="63" t="s">
        <v>14</v>
      </c>
      <c r="C1103" s="63" t="s">
        <v>3276</v>
      </c>
      <c r="D1103" s="63" t="s">
        <v>3277</v>
      </c>
      <c r="E1103" s="63" t="s">
        <v>3278</v>
      </c>
      <c r="F1103" s="63" t="s">
        <v>3279</v>
      </c>
      <c r="G1103" s="63" t="s">
        <v>18</v>
      </c>
      <c r="H1103" s="63" t="s">
        <v>18</v>
      </c>
      <c r="I1103" s="63" t="s">
        <v>802</v>
      </c>
    </row>
    <row r="1104" ht="11.25" customHeight="1">
      <c r="A1104" s="63" t="s">
        <v>2167</v>
      </c>
      <c r="B1104" s="63" t="s">
        <v>14</v>
      </c>
      <c r="C1104" s="63" t="s">
        <v>3297</v>
      </c>
      <c r="D1104" s="63" t="s">
        <v>3298</v>
      </c>
      <c r="E1104" s="63" t="s">
        <v>3299</v>
      </c>
      <c r="F1104" s="63" t="s">
        <v>2311</v>
      </c>
      <c r="G1104" s="63" t="s">
        <v>3300</v>
      </c>
      <c r="H1104" s="63" t="s">
        <v>18</v>
      </c>
      <c r="I1104" s="63" t="s">
        <v>802</v>
      </c>
    </row>
    <row r="1105" ht="11.25" customHeight="1">
      <c r="A1105" s="63" t="s">
        <v>2167</v>
      </c>
      <c r="B1105" s="63" t="s">
        <v>14</v>
      </c>
      <c r="C1105" s="63" t="s">
        <v>3301</v>
      </c>
      <c r="D1105" s="63" t="s">
        <v>3302</v>
      </c>
      <c r="E1105" s="63" t="s">
        <v>3303</v>
      </c>
      <c r="F1105" s="63" t="s">
        <v>2218</v>
      </c>
      <c r="G1105" s="63" t="s">
        <v>3304</v>
      </c>
      <c r="H1105" s="63" t="s">
        <v>18</v>
      </c>
      <c r="I1105" s="63" t="s">
        <v>802</v>
      </c>
    </row>
    <row r="1106" ht="11.25" customHeight="1">
      <c r="A1106" s="63" t="s">
        <v>2167</v>
      </c>
      <c r="B1106" s="63" t="s">
        <v>14</v>
      </c>
      <c r="C1106" s="63" t="s">
        <v>4561</v>
      </c>
      <c r="D1106" s="63" t="s">
        <v>4562</v>
      </c>
      <c r="E1106" s="63" t="s">
        <v>4563</v>
      </c>
      <c r="F1106" s="63" t="s">
        <v>2218</v>
      </c>
      <c r="G1106" s="63" t="s">
        <v>4564</v>
      </c>
      <c r="H1106" s="63" t="s">
        <v>18</v>
      </c>
      <c r="I1106" s="63" t="s">
        <v>802</v>
      </c>
    </row>
    <row r="1107" ht="11.25" customHeight="1">
      <c r="A1107" s="63" t="s">
        <v>2167</v>
      </c>
      <c r="B1107" s="63" t="s">
        <v>14</v>
      </c>
      <c r="C1107" s="63" t="s">
        <v>3305</v>
      </c>
      <c r="D1107" s="63" t="s">
        <v>3306</v>
      </c>
      <c r="E1107" s="63" t="s">
        <v>3307</v>
      </c>
      <c r="F1107" s="63" t="s">
        <v>2311</v>
      </c>
      <c r="G1107" s="63" t="s">
        <v>2385</v>
      </c>
      <c r="H1107" s="63" t="s">
        <v>18</v>
      </c>
      <c r="I1107" s="63" t="s">
        <v>802</v>
      </c>
    </row>
    <row r="1108" ht="11.25" customHeight="1">
      <c r="A1108" s="63" t="s">
        <v>2167</v>
      </c>
      <c r="B1108" s="63" t="s">
        <v>14</v>
      </c>
      <c r="C1108" s="63" t="s">
        <v>3320</v>
      </c>
      <c r="D1108" s="63" t="s">
        <v>3321</v>
      </c>
      <c r="E1108" s="63" t="s">
        <v>3322</v>
      </c>
      <c r="F1108" s="63" t="s">
        <v>3323</v>
      </c>
      <c r="G1108" s="63" t="s">
        <v>18</v>
      </c>
      <c r="H1108" s="63" t="s">
        <v>18</v>
      </c>
      <c r="I1108" s="63" t="s">
        <v>802</v>
      </c>
    </row>
    <row r="1109" ht="11.25" customHeight="1">
      <c r="A1109" s="63" t="s">
        <v>2167</v>
      </c>
      <c r="B1109" s="63" t="s">
        <v>14</v>
      </c>
      <c r="C1109" s="63" t="s">
        <v>4568</v>
      </c>
      <c r="D1109" s="63" t="s">
        <v>4569</v>
      </c>
      <c r="E1109" s="63" t="s">
        <v>4570</v>
      </c>
      <c r="F1109" s="63" t="s">
        <v>3055</v>
      </c>
      <c r="G1109" s="63" t="s">
        <v>4571</v>
      </c>
      <c r="H1109" s="63" t="s">
        <v>18</v>
      </c>
      <c r="I1109" s="63" t="s">
        <v>802</v>
      </c>
    </row>
    <row r="1110" ht="11.25" customHeight="1">
      <c r="A1110" s="63" t="s">
        <v>2167</v>
      </c>
      <c r="B1110" s="63" t="s">
        <v>14</v>
      </c>
      <c r="C1110" s="63" t="s">
        <v>3339</v>
      </c>
      <c r="D1110" s="63" t="s">
        <v>3340</v>
      </c>
      <c r="E1110" s="63" t="s">
        <v>3341</v>
      </c>
      <c r="F1110" s="63" t="s">
        <v>2218</v>
      </c>
      <c r="G1110" s="63" t="s">
        <v>3342</v>
      </c>
      <c r="H1110" s="63" t="s">
        <v>18</v>
      </c>
      <c r="I1110" s="63" t="s">
        <v>802</v>
      </c>
    </row>
    <row r="1111" ht="11.25" customHeight="1">
      <c r="A1111" s="63" t="s">
        <v>2167</v>
      </c>
      <c r="B1111" s="63" t="s">
        <v>14</v>
      </c>
      <c r="C1111" s="63" t="s">
        <v>4572</v>
      </c>
      <c r="D1111" s="63" t="s">
        <v>4573</v>
      </c>
      <c r="E1111" s="63" t="s">
        <v>4574</v>
      </c>
      <c r="F1111" s="63" t="s">
        <v>3055</v>
      </c>
      <c r="G1111" s="63" t="s">
        <v>4575</v>
      </c>
      <c r="H1111" s="63" t="s">
        <v>18</v>
      </c>
      <c r="I1111" s="63" t="s">
        <v>802</v>
      </c>
    </row>
    <row r="1112" ht="11.25" customHeight="1">
      <c r="A1112" s="63" t="s">
        <v>2167</v>
      </c>
      <c r="B1112" s="63" t="s">
        <v>14</v>
      </c>
      <c r="C1112" s="63" t="s">
        <v>3343</v>
      </c>
      <c r="D1112" s="63" t="s">
        <v>3344</v>
      </c>
      <c r="E1112" s="63" t="s">
        <v>3345</v>
      </c>
      <c r="F1112" s="63" t="s">
        <v>2413</v>
      </c>
      <c r="G1112" s="63" t="s">
        <v>3346</v>
      </c>
      <c r="H1112" s="63" t="s">
        <v>18</v>
      </c>
      <c r="I1112" s="63" t="s">
        <v>802</v>
      </c>
    </row>
    <row r="1113" ht="11.25" customHeight="1">
      <c r="A1113" s="63" t="s">
        <v>2167</v>
      </c>
      <c r="B1113" s="63" t="s">
        <v>14</v>
      </c>
      <c r="C1113" s="63" t="s">
        <v>3359</v>
      </c>
      <c r="D1113" s="63" t="s">
        <v>3360</v>
      </c>
      <c r="E1113" s="63" t="s">
        <v>3361</v>
      </c>
      <c r="F1113" s="63" t="s">
        <v>2311</v>
      </c>
      <c r="G1113" s="63" t="s">
        <v>3362</v>
      </c>
      <c r="H1113" s="63" t="s">
        <v>18</v>
      </c>
      <c r="I1113" s="63" t="s">
        <v>802</v>
      </c>
    </row>
    <row r="1114" ht="11.25" customHeight="1">
      <c r="A1114" s="63" t="s">
        <v>2167</v>
      </c>
      <c r="B1114" s="63" t="s">
        <v>14</v>
      </c>
      <c r="C1114" s="63" t="s">
        <v>3377</v>
      </c>
      <c r="D1114" s="63" t="s">
        <v>3378</v>
      </c>
      <c r="E1114" s="63" t="s">
        <v>3252</v>
      </c>
      <c r="F1114" s="63" t="s">
        <v>2249</v>
      </c>
      <c r="G1114" s="63" t="s">
        <v>18</v>
      </c>
      <c r="H1114" s="63" t="s">
        <v>18</v>
      </c>
      <c r="I1114" s="63" t="s">
        <v>802</v>
      </c>
    </row>
    <row r="1115" ht="11.25" customHeight="1">
      <c r="A1115" s="63" t="s">
        <v>2167</v>
      </c>
      <c r="B1115" s="63" t="s">
        <v>14</v>
      </c>
      <c r="C1115" s="63" t="s">
        <v>3414</v>
      </c>
      <c r="D1115" s="63" t="s">
        <v>3415</v>
      </c>
      <c r="E1115" s="63" t="s">
        <v>3416</v>
      </c>
      <c r="F1115" s="63" t="s">
        <v>3417</v>
      </c>
      <c r="G1115" s="63" t="s">
        <v>18</v>
      </c>
      <c r="H1115" s="63" t="s">
        <v>18</v>
      </c>
      <c r="I1115" s="63" t="s">
        <v>802</v>
      </c>
    </row>
    <row r="1116" ht="11.25" customHeight="1">
      <c r="A1116" s="63" t="s">
        <v>2167</v>
      </c>
      <c r="B1116" s="63" t="s">
        <v>14</v>
      </c>
      <c r="C1116" s="63" t="s">
        <v>3423</v>
      </c>
      <c r="D1116" s="63" t="s">
        <v>3424</v>
      </c>
      <c r="E1116" s="63" t="s">
        <v>2206</v>
      </c>
      <c r="F1116" s="63" t="s">
        <v>3425</v>
      </c>
      <c r="G1116" s="63" t="s">
        <v>18</v>
      </c>
      <c r="H1116" s="63" t="s">
        <v>18</v>
      </c>
      <c r="I1116" s="63" t="s">
        <v>802</v>
      </c>
    </row>
    <row r="1117" ht="11.25" customHeight="1">
      <c r="A1117" s="63" t="s">
        <v>2167</v>
      </c>
      <c r="B1117" s="63" t="s">
        <v>14</v>
      </c>
      <c r="C1117" s="63" t="s">
        <v>4765</v>
      </c>
      <c r="D1117" s="63" t="s">
        <v>4766</v>
      </c>
      <c r="E1117" s="63" t="s">
        <v>4767</v>
      </c>
      <c r="F1117" s="63" t="s">
        <v>2538</v>
      </c>
      <c r="G1117" s="63" t="s">
        <v>3874</v>
      </c>
      <c r="H1117" s="63" t="s">
        <v>18</v>
      </c>
      <c r="I1117" s="63" t="s">
        <v>1608</v>
      </c>
    </row>
    <row r="1118" ht="11.25" customHeight="1">
      <c r="A1118" s="63" t="s">
        <v>2167</v>
      </c>
      <c r="B1118" s="63" t="s">
        <v>14</v>
      </c>
      <c r="C1118" s="63" t="s">
        <v>4768</v>
      </c>
      <c r="D1118" s="63" t="s">
        <v>4769</v>
      </c>
      <c r="E1118" s="63" t="s">
        <v>4770</v>
      </c>
      <c r="F1118" s="63" t="s">
        <v>2311</v>
      </c>
      <c r="G1118" s="63" t="s">
        <v>4771</v>
      </c>
      <c r="H1118" s="63" t="s">
        <v>18</v>
      </c>
      <c r="I1118" s="63" t="s">
        <v>1608</v>
      </c>
    </row>
    <row r="1119" ht="11.25" customHeight="1">
      <c r="A1119" s="63" t="s">
        <v>2167</v>
      </c>
      <c r="B1119" s="63" t="s">
        <v>14</v>
      </c>
      <c r="C1119" s="63" t="s">
        <v>4772</v>
      </c>
      <c r="D1119" s="63" t="s">
        <v>4773</v>
      </c>
      <c r="E1119" s="63" t="s">
        <v>4774</v>
      </c>
      <c r="F1119" s="63" t="s">
        <v>2222</v>
      </c>
      <c r="G1119" s="63" t="s">
        <v>4775</v>
      </c>
      <c r="H1119" s="63" t="s">
        <v>18</v>
      </c>
      <c r="I1119" s="63" t="s">
        <v>1608</v>
      </c>
    </row>
    <row r="1120" ht="11.25" customHeight="1">
      <c r="A1120" s="63" t="s">
        <v>2167</v>
      </c>
      <c r="B1120" s="63" t="s">
        <v>14</v>
      </c>
      <c r="C1120" s="63" t="s">
        <v>4776</v>
      </c>
      <c r="D1120" s="63" t="s">
        <v>4777</v>
      </c>
      <c r="E1120" s="63" t="s">
        <v>4778</v>
      </c>
      <c r="F1120" s="63" t="s">
        <v>2222</v>
      </c>
      <c r="G1120" s="63" t="s">
        <v>18</v>
      </c>
      <c r="H1120" s="63" t="s">
        <v>18</v>
      </c>
      <c r="I1120" s="63" t="s">
        <v>1608</v>
      </c>
    </row>
    <row r="1121" ht="11.25" customHeight="1">
      <c r="A1121" s="63" t="s">
        <v>2167</v>
      </c>
      <c r="B1121" s="63" t="s">
        <v>14</v>
      </c>
      <c r="C1121" s="63" t="s">
        <v>3518</v>
      </c>
      <c r="D1121" s="63" t="s">
        <v>3519</v>
      </c>
      <c r="E1121" s="63" t="s">
        <v>3520</v>
      </c>
      <c r="F1121" s="63" t="s">
        <v>2598</v>
      </c>
      <c r="G1121" s="63" t="s">
        <v>18</v>
      </c>
      <c r="H1121" s="63" t="s">
        <v>18</v>
      </c>
      <c r="I1121" s="63" t="s">
        <v>1608</v>
      </c>
    </row>
    <row r="1122" ht="11.25" customHeight="1">
      <c r="A1122" s="63" t="s">
        <v>2167</v>
      </c>
      <c r="B1122" s="63" t="s">
        <v>14</v>
      </c>
      <c r="C1122" s="63" t="s">
        <v>4779</v>
      </c>
      <c r="D1122" s="63" t="s">
        <v>4780</v>
      </c>
      <c r="E1122" s="63" t="s">
        <v>4781</v>
      </c>
      <c r="F1122" s="63" t="s">
        <v>557</v>
      </c>
      <c r="G1122" s="63" t="s">
        <v>4782</v>
      </c>
      <c r="H1122" s="63" t="s">
        <v>18</v>
      </c>
      <c r="I1122" s="63" t="s">
        <v>1608</v>
      </c>
    </row>
    <row r="1123" ht="11.25" customHeight="1">
      <c r="A1123" s="63" t="s">
        <v>2167</v>
      </c>
      <c r="B1123" s="63" t="s">
        <v>14</v>
      </c>
      <c r="C1123" s="63" t="s">
        <v>4783</v>
      </c>
      <c r="D1123" s="63" t="s">
        <v>4784</v>
      </c>
      <c r="E1123" s="63" t="s">
        <v>4785</v>
      </c>
      <c r="F1123" s="63" t="s">
        <v>557</v>
      </c>
      <c r="G1123" s="63" t="s">
        <v>4786</v>
      </c>
      <c r="H1123" s="63" t="s">
        <v>18</v>
      </c>
      <c r="I1123" s="63" t="s">
        <v>1608</v>
      </c>
    </row>
    <row r="1124" ht="11.25" customHeight="1">
      <c r="A1124" s="63" t="s">
        <v>2167</v>
      </c>
      <c r="B1124" s="63" t="s">
        <v>14</v>
      </c>
      <c r="C1124" s="63" t="s">
        <v>4787</v>
      </c>
      <c r="D1124" s="63" t="s">
        <v>4788</v>
      </c>
      <c r="E1124" s="63" t="s">
        <v>4789</v>
      </c>
      <c r="F1124" s="63" t="s">
        <v>557</v>
      </c>
      <c r="G1124" s="63" t="s">
        <v>4790</v>
      </c>
      <c r="H1124" s="63" t="s">
        <v>18</v>
      </c>
      <c r="I1124" s="63" t="s">
        <v>1608</v>
      </c>
    </row>
    <row r="1125" ht="11.25" customHeight="1">
      <c r="A1125" s="63" t="s">
        <v>2167</v>
      </c>
      <c r="B1125" s="63" t="s">
        <v>14</v>
      </c>
      <c r="C1125" s="63" t="s">
        <v>4791</v>
      </c>
      <c r="D1125" s="63" t="s">
        <v>4792</v>
      </c>
      <c r="E1125" s="63" t="s">
        <v>4793</v>
      </c>
      <c r="F1125" s="63" t="s">
        <v>557</v>
      </c>
      <c r="G1125" s="63" t="s">
        <v>4794</v>
      </c>
      <c r="H1125" s="63" t="s">
        <v>18</v>
      </c>
      <c r="I1125" s="63" t="s">
        <v>1608</v>
      </c>
    </row>
    <row r="1126" ht="11.25" customHeight="1">
      <c r="A1126" s="63" t="s">
        <v>2167</v>
      </c>
      <c r="B1126" s="63" t="s">
        <v>14</v>
      </c>
      <c r="C1126" s="63" t="s">
        <v>4795</v>
      </c>
      <c r="D1126" s="63" t="s">
        <v>4796</v>
      </c>
      <c r="E1126" s="63" t="s">
        <v>4797</v>
      </c>
      <c r="F1126" s="63" t="s">
        <v>2249</v>
      </c>
      <c r="G1126" s="63" t="s">
        <v>18</v>
      </c>
      <c r="H1126" s="63" t="s">
        <v>18</v>
      </c>
      <c r="I1126" s="63" t="s">
        <v>1608</v>
      </c>
    </row>
    <row r="1127" ht="11.25" customHeight="1">
      <c r="A1127" s="63" t="s">
        <v>2167</v>
      </c>
      <c r="B1127" s="63" t="s">
        <v>14</v>
      </c>
      <c r="C1127" s="63" t="s">
        <v>4798</v>
      </c>
      <c r="D1127" s="63" t="s">
        <v>4799</v>
      </c>
      <c r="E1127" s="63" t="s">
        <v>4800</v>
      </c>
      <c r="F1127" s="63" t="s">
        <v>2403</v>
      </c>
      <c r="G1127" s="63" t="s">
        <v>4801</v>
      </c>
      <c r="H1127" s="63" t="s">
        <v>18</v>
      </c>
      <c r="I1127" s="63" t="s">
        <v>1608</v>
      </c>
    </row>
    <row r="1128" ht="11.25" customHeight="1">
      <c r="A1128" s="63" t="s">
        <v>2167</v>
      </c>
      <c r="B1128" s="63" t="s">
        <v>14</v>
      </c>
      <c r="C1128" s="63" t="s">
        <v>4802</v>
      </c>
      <c r="D1128" s="63" t="s">
        <v>4803</v>
      </c>
      <c r="E1128" s="63" t="s">
        <v>4804</v>
      </c>
      <c r="F1128" s="63" t="s">
        <v>3062</v>
      </c>
      <c r="G1128" s="63" t="s">
        <v>4805</v>
      </c>
      <c r="H1128" s="63" t="s">
        <v>18</v>
      </c>
      <c r="I1128" s="63" t="s">
        <v>1608</v>
      </c>
    </row>
    <row r="1129" ht="11.25" customHeight="1">
      <c r="A1129" s="63" t="s">
        <v>2167</v>
      </c>
      <c r="B1129" s="63" t="s">
        <v>14</v>
      </c>
      <c r="C1129" s="63" t="s">
        <v>4806</v>
      </c>
      <c r="D1129" s="63" t="s">
        <v>4807</v>
      </c>
      <c r="E1129" s="63" t="s">
        <v>4808</v>
      </c>
      <c r="F1129" s="63" t="s">
        <v>2598</v>
      </c>
      <c r="G1129" s="63" t="s">
        <v>4809</v>
      </c>
      <c r="H1129" s="63" t="s">
        <v>18</v>
      </c>
      <c r="I1129" s="63" t="s">
        <v>1608</v>
      </c>
    </row>
    <row r="1130" ht="11.25" customHeight="1">
      <c r="A1130" s="63" t="s">
        <v>2167</v>
      </c>
      <c r="B1130" s="63" t="s">
        <v>14</v>
      </c>
      <c r="C1130" s="63" t="s">
        <v>4810</v>
      </c>
      <c r="D1130" s="63" t="s">
        <v>4811</v>
      </c>
      <c r="E1130" s="63" t="s">
        <v>4812</v>
      </c>
      <c r="F1130" s="63" t="s">
        <v>2417</v>
      </c>
      <c r="G1130" s="63" t="s">
        <v>18</v>
      </c>
      <c r="H1130" s="63" t="s">
        <v>18</v>
      </c>
      <c r="I1130" s="63" t="s">
        <v>1608</v>
      </c>
    </row>
    <row r="1131" ht="11.25" customHeight="1">
      <c r="A1131" s="63" t="s">
        <v>2167</v>
      </c>
      <c r="B1131" s="63" t="s">
        <v>14</v>
      </c>
      <c r="C1131" s="63" t="s">
        <v>4813</v>
      </c>
      <c r="D1131" s="63" t="s">
        <v>4814</v>
      </c>
      <c r="E1131" s="63" t="s">
        <v>4815</v>
      </c>
      <c r="F1131" s="63" t="s">
        <v>2598</v>
      </c>
      <c r="G1131" s="63" t="s">
        <v>18</v>
      </c>
      <c r="H1131" s="63" t="s">
        <v>18</v>
      </c>
      <c r="I1131" s="63" t="s">
        <v>1608</v>
      </c>
    </row>
    <row r="1132" ht="11.25" customHeight="1">
      <c r="A1132" s="63" t="s">
        <v>2167</v>
      </c>
      <c r="B1132" s="63" t="s">
        <v>14</v>
      </c>
      <c r="C1132" s="63" t="s">
        <v>3928</v>
      </c>
      <c r="D1132" s="63" t="s">
        <v>3929</v>
      </c>
      <c r="E1132" s="63" t="s">
        <v>3930</v>
      </c>
      <c r="F1132" s="63" t="s">
        <v>2506</v>
      </c>
      <c r="G1132" s="63" t="s">
        <v>3931</v>
      </c>
      <c r="H1132" s="63" t="s">
        <v>18</v>
      </c>
      <c r="I1132" s="63" t="s">
        <v>1608</v>
      </c>
    </row>
    <row r="1133" ht="11.25" customHeight="1">
      <c r="A1133" s="63" t="s">
        <v>2167</v>
      </c>
      <c r="B1133" s="63" t="s">
        <v>14</v>
      </c>
      <c r="C1133" s="63" t="s">
        <v>4816</v>
      </c>
      <c r="D1133" s="63" t="s">
        <v>4817</v>
      </c>
      <c r="E1133" s="63" t="s">
        <v>4818</v>
      </c>
      <c r="F1133" s="63" t="s">
        <v>2598</v>
      </c>
      <c r="G1133" s="63" t="s">
        <v>18</v>
      </c>
      <c r="H1133" s="63" t="s">
        <v>18</v>
      </c>
      <c r="I1133" s="63" t="s">
        <v>1608</v>
      </c>
    </row>
    <row r="1134" ht="11.25" customHeight="1">
      <c r="A1134" s="63" t="s">
        <v>2167</v>
      </c>
      <c r="B1134" s="63" t="s">
        <v>14</v>
      </c>
      <c r="C1134" s="63" t="s">
        <v>4819</v>
      </c>
      <c r="D1134" s="63" t="s">
        <v>4820</v>
      </c>
      <c r="E1134" s="63" t="s">
        <v>4821</v>
      </c>
      <c r="F1134" s="63" t="s">
        <v>2514</v>
      </c>
      <c r="G1134" s="63" t="s">
        <v>4822</v>
      </c>
      <c r="H1134" s="63" t="s">
        <v>18</v>
      </c>
      <c r="I1134" s="63" t="s">
        <v>1608</v>
      </c>
    </row>
    <row r="1135" ht="11.25" customHeight="1">
      <c r="A1135" s="63" t="s">
        <v>2167</v>
      </c>
      <c r="B1135" s="63" t="s">
        <v>14</v>
      </c>
      <c r="C1135" s="63" t="s">
        <v>4823</v>
      </c>
      <c r="D1135" s="63" t="s">
        <v>2613</v>
      </c>
      <c r="E1135" s="63" t="s">
        <v>4824</v>
      </c>
      <c r="F1135" s="63" t="s">
        <v>3496</v>
      </c>
      <c r="G1135" s="63" t="s">
        <v>18</v>
      </c>
      <c r="H1135" s="63" t="s">
        <v>18</v>
      </c>
      <c r="I1135" s="63" t="s">
        <v>1608</v>
      </c>
    </row>
    <row r="1136" ht="11.25" customHeight="1">
      <c r="A1136" s="63" t="s">
        <v>2167</v>
      </c>
      <c r="B1136" s="63" t="s">
        <v>14</v>
      </c>
      <c r="C1136" s="63" t="s">
        <v>4126</v>
      </c>
      <c r="D1136" s="63" t="s">
        <v>4127</v>
      </c>
      <c r="E1136" s="63" t="s">
        <v>4128</v>
      </c>
      <c r="F1136" s="63" t="s">
        <v>2303</v>
      </c>
      <c r="G1136" s="63" t="s">
        <v>4129</v>
      </c>
      <c r="H1136" s="63" t="s">
        <v>18</v>
      </c>
      <c r="I1136" s="63" t="s">
        <v>1608</v>
      </c>
    </row>
    <row r="1137" ht="11.25" customHeight="1">
      <c r="A1137" s="63" t="s">
        <v>2167</v>
      </c>
      <c r="B1137" s="63" t="s">
        <v>14</v>
      </c>
      <c r="C1137" s="63" t="s">
        <v>4825</v>
      </c>
      <c r="D1137" s="63" t="s">
        <v>4826</v>
      </c>
      <c r="E1137" s="63" t="s">
        <v>4827</v>
      </c>
      <c r="F1137" s="63" t="s">
        <v>2598</v>
      </c>
      <c r="G1137" s="63" t="s">
        <v>18</v>
      </c>
      <c r="H1137" s="63" t="s">
        <v>18</v>
      </c>
      <c r="I1137" s="63" t="s">
        <v>1608</v>
      </c>
    </row>
    <row r="1138" ht="11.25" customHeight="1">
      <c r="A1138" s="63" t="s">
        <v>2167</v>
      </c>
      <c r="B1138" s="63" t="s">
        <v>14</v>
      </c>
      <c r="C1138" s="63" t="s">
        <v>4828</v>
      </c>
      <c r="D1138" s="63" t="s">
        <v>4829</v>
      </c>
      <c r="E1138" s="63" t="s">
        <v>4830</v>
      </c>
      <c r="F1138" s="63" t="s">
        <v>2307</v>
      </c>
      <c r="G1138" s="63" t="s">
        <v>4008</v>
      </c>
      <c r="H1138" s="63" t="s">
        <v>18</v>
      </c>
      <c r="I1138" s="63" t="s">
        <v>1608</v>
      </c>
    </row>
    <row r="1139" ht="11.25" customHeight="1">
      <c r="A1139" s="63" t="s">
        <v>2167</v>
      </c>
      <c r="B1139" s="63" t="s">
        <v>14</v>
      </c>
      <c r="C1139" s="63" t="s">
        <v>4831</v>
      </c>
      <c r="D1139" s="63" t="s">
        <v>4832</v>
      </c>
      <c r="E1139" s="63" t="s">
        <v>4833</v>
      </c>
      <c r="F1139" s="63" t="s">
        <v>2380</v>
      </c>
      <c r="G1139" s="63" t="s">
        <v>4834</v>
      </c>
      <c r="H1139" s="63" t="s">
        <v>18</v>
      </c>
      <c r="I1139" s="63" t="s">
        <v>1608</v>
      </c>
    </row>
    <row r="1140" ht="11.25" customHeight="1">
      <c r="A1140" s="63" t="s">
        <v>2167</v>
      </c>
      <c r="B1140" s="63" t="s">
        <v>14</v>
      </c>
      <c r="C1140" s="63" t="s">
        <v>4835</v>
      </c>
      <c r="D1140" s="63" t="s">
        <v>4836</v>
      </c>
      <c r="E1140" s="63" t="s">
        <v>4837</v>
      </c>
      <c r="F1140" s="63" t="s">
        <v>3127</v>
      </c>
      <c r="G1140" s="63" t="s">
        <v>4838</v>
      </c>
      <c r="H1140" s="63" t="s">
        <v>18</v>
      </c>
      <c r="I1140" s="63" t="s">
        <v>1608</v>
      </c>
    </row>
    <row r="1141" ht="11.25" customHeight="1">
      <c r="A1141" s="63" t="s">
        <v>2167</v>
      </c>
      <c r="B1141" s="63" t="s">
        <v>14</v>
      </c>
      <c r="C1141" s="63" t="s">
        <v>4839</v>
      </c>
      <c r="D1141" s="63" t="s">
        <v>4840</v>
      </c>
      <c r="E1141" s="63" t="s">
        <v>4841</v>
      </c>
      <c r="F1141" s="63" t="s">
        <v>2370</v>
      </c>
      <c r="G1141" s="63" t="s">
        <v>4842</v>
      </c>
      <c r="H1141" s="63" t="s">
        <v>18</v>
      </c>
      <c r="I1141" s="63" t="s">
        <v>1608</v>
      </c>
    </row>
    <row r="1142" ht="11.25" customHeight="1">
      <c r="A1142" s="63" t="s">
        <v>2167</v>
      </c>
      <c r="B1142" s="63" t="s">
        <v>14</v>
      </c>
      <c r="C1142" s="63" t="s">
        <v>4843</v>
      </c>
      <c r="D1142" s="63" t="s">
        <v>4844</v>
      </c>
      <c r="E1142" s="63" t="s">
        <v>4845</v>
      </c>
      <c r="F1142" s="63" t="s">
        <v>4846</v>
      </c>
      <c r="G1142" s="63" t="s">
        <v>18</v>
      </c>
      <c r="H1142" s="63" t="s">
        <v>18</v>
      </c>
      <c r="I1142" s="63" t="s">
        <v>1608</v>
      </c>
    </row>
    <row r="1143" ht="11.25" customHeight="1">
      <c r="A1143" s="63" t="s">
        <v>2167</v>
      </c>
      <c r="B1143" s="63" t="s">
        <v>14</v>
      </c>
      <c r="C1143" s="63" t="s">
        <v>4847</v>
      </c>
      <c r="D1143" s="63" t="s">
        <v>4848</v>
      </c>
      <c r="E1143" s="63" t="s">
        <v>4849</v>
      </c>
      <c r="F1143" s="63" t="s">
        <v>2630</v>
      </c>
      <c r="G1143" s="63" t="s">
        <v>4850</v>
      </c>
      <c r="H1143" s="63" t="s">
        <v>18</v>
      </c>
      <c r="I1143" s="63" t="s">
        <v>1608</v>
      </c>
    </row>
    <row r="1144" ht="11.25" customHeight="1">
      <c r="A1144" s="63" t="s">
        <v>2167</v>
      </c>
      <c r="B1144" s="63" t="s">
        <v>14</v>
      </c>
      <c r="C1144" s="63" t="s">
        <v>4851</v>
      </c>
      <c r="D1144" s="63" t="s">
        <v>4852</v>
      </c>
      <c r="E1144" s="63" t="s">
        <v>4853</v>
      </c>
      <c r="F1144" s="63" t="s">
        <v>4854</v>
      </c>
      <c r="G1144" s="63" t="s">
        <v>4855</v>
      </c>
      <c r="H1144" s="63" t="s">
        <v>18</v>
      </c>
      <c r="I1144" s="63" t="s">
        <v>1608</v>
      </c>
    </row>
    <row r="1145" ht="11.25" customHeight="1">
      <c r="A1145" s="63" t="s">
        <v>2167</v>
      </c>
      <c r="B1145" s="63" t="s">
        <v>14</v>
      </c>
      <c r="C1145" s="63" t="s">
        <v>4856</v>
      </c>
      <c r="D1145" s="63" t="s">
        <v>4857</v>
      </c>
      <c r="E1145" s="63" t="s">
        <v>4858</v>
      </c>
      <c r="F1145" s="63" t="s">
        <v>2249</v>
      </c>
      <c r="G1145" s="63" t="s">
        <v>18</v>
      </c>
      <c r="H1145" s="63" t="s">
        <v>18</v>
      </c>
      <c r="I1145" s="63" t="s">
        <v>1608</v>
      </c>
    </row>
    <row r="1146" ht="11.25" customHeight="1">
      <c r="A1146" s="63" t="s">
        <v>2167</v>
      </c>
      <c r="B1146" s="63" t="s">
        <v>14</v>
      </c>
      <c r="C1146" s="63" t="s">
        <v>4859</v>
      </c>
      <c r="D1146" s="63" t="s">
        <v>4860</v>
      </c>
      <c r="E1146" s="63" t="s">
        <v>4861</v>
      </c>
      <c r="F1146" s="63" t="s">
        <v>2249</v>
      </c>
      <c r="G1146" s="63" t="s">
        <v>4862</v>
      </c>
      <c r="H1146" s="63" t="s">
        <v>18</v>
      </c>
      <c r="I1146" s="63" t="s">
        <v>1608</v>
      </c>
    </row>
    <row r="1147" ht="11.25" customHeight="1">
      <c r="A1147" s="63" t="s">
        <v>2167</v>
      </c>
      <c r="B1147" s="63" t="s">
        <v>14</v>
      </c>
      <c r="C1147" s="63" t="s">
        <v>4350</v>
      </c>
      <c r="D1147" s="63" t="s">
        <v>4347</v>
      </c>
      <c r="E1147" s="63" t="s">
        <v>4351</v>
      </c>
      <c r="F1147" s="63" t="s">
        <v>2522</v>
      </c>
      <c r="G1147" s="63" t="s">
        <v>18</v>
      </c>
      <c r="H1147" s="63" t="s">
        <v>18</v>
      </c>
      <c r="I1147" s="63" t="s">
        <v>1608</v>
      </c>
    </row>
    <row r="1148" ht="11.25" customHeight="1">
      <c r="A1148" s="63" t="s">
        <v>2167</v>
      </c>
      <c r="B1148" s="63" t="s">
        <v>14</v>
      </c>
      <c r="C1148" s="63" t="s">
        <v>4863</v>
      </c>
      <c r="D1148" s="63" t="s">
        <v>4864</v>
      </c>
      <c r="E1148" s="63" t="s">
        <v>4865</v>
      </c>
      <c r="F1148" s="63" t="s">
        <v>2557</v>
      </c>
      <c r="G1148" s="63" t="s">
        <v>4866</v>
      </c>
      <c r="H1148" s="63" t="s">
        <v>18</v>
      </c>
      <c r="I1148" s="63" t="s">
        <v>1608</v>
      </c>
    </row>
    <row r="1149" ht="11.25" customHeight="1">
      <c r="A1149" s="63" t="s">
        <v>2167</v>
      </c>
      <c r="B1149" s="63" t="s">
        <v>14</v>
      </c>
      <c r="C1149" s="63" t="s">
        <v>4867</v>
      </c>
      <c r="D1149" s="63" t="s">
        <v>4868</v>
      </c>
      <c r="E1149" s="63" t="s">
        <v>4869</v>
      </c>
      <c r="F1149" s="63" t="s">
        <v>4870</v>
      </c>
      <c r="G1149" s="63" t="s">
        <v>4871</v>
      </c>
      <c r="H1149" s="63" t="s">
        <v>18</v>
      </c>
      <c r="I1149" s="63" t="s">
        <v>1608</v>
      </c>
    </row>
    <row r="1150" ht="11.25" customHeight="1">
      <c r="A1150" s="63" t="s">
        <v>2167</v>
      </c>
      <c r="B1150" s="63" t="s">
        <v>14</v>
      </c>
      <c r="C1150" s="63" t="s">
        <v>4872</v>
      </c>
      <c r="D1150" s="63" t="s">
        <v>4873</v>
      </c>
      <c r="E1150" s="63" t="s">
        <v>4874</v>
      </c>
      <c r="F1150" s="63" t="s">
        <v>4875</v>
      </c>
      <c r="G1150" s="63" t="s">
        <v>18</v>
      </c>
      <c r="H1150" s="63" t="s">
        <v>18</v>
      </c>
      <c r="I1150" s="63" t="s">
        <v>1608</v>
      </c>
    </row>
    <row r="1151" ht="11.25" customHeight="1">
      <c r="A1151" s="63" t="s">
        <v>2167</v>
      </c>
      <c r="B1151" s="63" t="s">
        <v>14</v>
      </c>
      <c r="C1151" s="63" t="s">
        <v>4382</v>
      </c>
      <c r="D1151" s="63" t="s">
        <v>4383</v>
      </c>
      <c r="E1151" s="63" t="s">
        <v>4384</v>
      </c>
      <c r="F1151" s="63" t="s">
        <v>2249</v>
      </c>
      <c r="G1151" s="63" t="s">
        <v>4385</v>
      </c>
      <c r="H1151" s="63" t="s">
        <v>18</v>
      </c>
      <c r="I1151" s="63" t="s">
        <v>1608</v>
      </c>
    </row>
    <row r="1152" ht="11.25" customHeight="1">
      <c r="A1152" s="63" t="s">
        <v>2167</v>
      </c>
      <c r="B1152" s="63" t="s">
        <v>14</v>
      </c>
      <c r="C1152" s="63" t="s">
        <v>4876</v>
      </c>
      <c r="D1152" s="63" t="s">
        <v>4877</v>
      </c>
      <c r="E1152" s="63" t="s">
        <v>4878</v>
      </c>
      <c r="F1152" s="63" t="s">
        <v>2218</v>
      </c>
      <c r="G1152" s="63" t="s">
        <v>4879</v>
      </c>
      <c r="H1152" s="63" t="s">
        <v>18</v>
      </c>
      <c r="I1152" s="63" t="s">
        <v>1608</v>
      </c>
    </row>
    <row r="1153" ht="11.25" customHeight="1">
      <c r="A1153" s="63" t="s">
        <v>2167</v>
      </c>
      <c r="B1153" s="63" t="s">
        <v>14</v>
      </c>
      <c r="C1153" s="63" t="s">
        <v>4880</v>
      </c>
      <c r="D1153" s="63" t="s">
        <v>4881</v>
      </c>
      <c r="E1153" s="63" t="s">
        <v>4882</v>
      </c>
      <c r="F1153" s="63" t="s">
        <v>2176</v>
      </c>
      <c r="G1153" s="63" t="s">
        <v>4883</v>
      </c>
      <c r="H1153" s="63" t="s">
        <v>18</v>
      </c>
      <c r="I1153" s="63" t="s">
        <v>1608</v>
      </c>
    </row>
    <row r="1154" ht="11.25" customHeight="1">
      <c r="A1154" s="63" t="s">
        <v>2167</v>
      </c>
      <c r="B1154" s="63" t="s">
        <v>14</v>
      </c>
      <c r="C1154" s="63" t="s">
        <v>4884</v>
      </c>
      <c r="D1154" s="63" t="s">
        <v>4885</v>
      </c>
      <c r="E1154" s="63" t="s">
        <v>4886</v>
      </c>
      <c r="F1154" s="63" t="s">
        <v>4887</v>
      </c>
      <c r="G1154" s="63" t="s">
        <v>4888</v>
      </c>
      <c r="H1154" s="63" t="s">
        <v>18</v>
      </c>
      <c r="I1154" s="63" t="s">
        <v>1608</v>
      </c>
    </row>
    <row r="1155" ht="11.25" customHeight="1">
      <c r="A1155" s="63" t="s">
        <v>2167</v>
      </c>
      <c r="B1155" s="63" t="s">
        <v>14</v>
      </c>
      <c r="C1155" s="63" t="s">
        <v>4889</v>
      </c>
      <c r="D1155" s="63" t="s">
        <v>4890</v>
      </c>
      <c r="E1155" s="63" t="s">
        <v>4891</v>
      </c>
      <c r="F1155" s="63" t="s">
        <v>4892</v>
      </c>
      <c r="G1155" s="63" t="s">
        <v>4893</v>
      </c>
      <c r="H1155" s="63" t="s">
        <v>18</v>
      </c>
      <c r="I1155" s="63" t="s">
        <v>1608</v>
      </c>
    </row>
    <row r="1156" ht="11.25" customHeight="1">
      <c r="A1156" s="63" t="s">
        <v>2167</v>
      </c>
      <c r="B1156" s="63" t="s">
        <v>14</v>
      </c>
      <c r="C1156" s="63" t="s">
        <v>4894</v>
      </c>
      <c r="D1156" s="63" t="s">
        <v>4895</v>
      </c>
      <c r="E1156" s="63" t="s">
        <v>4896</v>
      </c>
      <c r="F1156" s="63" t="s">
        <v>2249</v>
      </c>
      <c r="G1156" s="63" t="s">
        <v>18</v>
      </c>
      <c r="H1156" s="63" t="s">
        <v>18</v>
      </c>
      <c r="I1156" s="63" t="s">
        <v>1608</v>
      </c>
    </row>
    <row r="1157" ht="11.25" customHeight="1">
      <c r="A1157" s="63" t="s">
        <v>2167</v>
      </c>
      <c r="B1157" s="63" t="s">
        <v>14</v>
      </c>
      <c r="C1157" s="63" t="s">
        <v>4897</v>
      </c>
      <c r="D1157" s="63" t="s">
        <v>4898</v>
      </c>
      <c r="E1157" s="63" t="s">
        <v>4899</v>
      </c>
      <c r="F1157" s="63" t="s">
        <v>4900</v>
      </c>
      <c r="G1157" s="63" t="s">
        <v>4901</v>
      </c>
      <c r="H1157" s="63" t="s">
        <v>18</v>
      </c>
      <c r="I1157" s="63" t="s">
        <v>1608</v>
      </c>
    </row>
    <row r="1158" ht="11.25" customHeight="1">
      <c r="A1158" s="63" t="s">
        <v>2167</v>
      </c>
      <c r="B1158" s="63" t="s">
        <v>14</v>
      </c>
      <c r="C1158" s="63" t="s">
        <v>4902</v>
      </c>
      <c r="D1158" s="63" t="s">
        <v>4903</v>
      </c>
      <c r="E1158" s="63" t="s">
        <v>4904</v>
      </c>
      <c r="F1158" s="63" t="s">
        <v>2218</v>
      </c>
      <c r="G1158" s="63" t="s">
        <v>4905</v>
      </c>
      <c r="H1158" s="63" t="s">
        <v>18</v>
      </c>
      <c r="I1158" s="63" t="s">
        <v>1608</v>
      </c>
    </row>
    <row r="1159" ht="11.25" customHeight="1">
      <c r="A1159" s="63" t="s">
        <v>2167</v>
      </c>
      <c r="B1159" s="63" t="s">
        <v>14</v>
      </c>
      <c r="C1159" s="63" t="s">
        <v>4906</v>
      </c>
      <c r="D1159" s="63" t="s">
        <v>4907</v>
      </c>
      <c r="E1159" s="63" t="s">
        <v>4908</v>
      </c>
      <c r="F1159" s="63" t="s">
        <v>2611</v>
      </c>
      <c r="G1159" s="63" t="s">
        <v>4909</v>
      </c>
      <c r="H1159" s="63" t="s">
        <v>18</v>
      </c>
      <c r="I1159" s="63" t="s">
        <v>1608</v>
      </c>
    </row>
    <row r="1160" ht="11.25" customHeight="1">
      <c r="A1160" s="63" t="s">
        <v>2167</v>
      </c>
      <c r="B1160" s="63" t="s">
        <v>14</v>
      </c>
      <c r="C1160" s="63" t="s">
        <v>4910</v>
      </c>
      <c r="D1160" s="63" t="s">
        <v>4911</v>
      </c>
      <c r="E1160" s="63" t="s">
        <v>4912</v>
      </c>
      <c r="F1160" s="63" t="s">
        <v>2249</v>
      </c>
      <c r="G1160" s="63" t="s">
        <v>18</v>
      </c>
      <c r="H1160" s="63" t="s">
        <v>18</v>
      </c>
      <c r="I1160" s="63" t="s">
        <v>1608</v>
      </c>
    </row>
    <row r="1161" ht="11.25" customHeight="1">
      <c r="A1161" s="63" t="s">
        <v>2167</v>
      </c>
      <c r="B1161" s="63" t="s">
        <v>14</v>
      </c>
      <c r="C1161" s="63" t="s">
        <v>4913</v>
      </c>
      <c r="D1161" s="63" t="s">
        <v>4914</v>
      </c>
      <c r="E1161" s="63" t="s">
        <v>4915</v>
      </c>
      <c r="F1161" s="63" t="s">
        <v>2222</v>
      </c>
      <c r="G1161" s="63" t="s">
        <v>18</v>
      </c>
      <c r="H1161" s="63" t="s">
        <v>18</v>
      </c>
      <c r="I1161" s="63" t="s">
        <v>1608</v>
      </c>
    </row>
    <row r="1162" ht="11.25" customHeight="1">
      <c r="A1162" s="63" t="s">
        <v>2167</v>
      </c>
      <c r="B1162" s="63" t="s">
        <v>14</v>
      </c>
      <c r="C1162" s="63" t="s">
        <v>4916</v>
      </c>
      <c r="D1162" s="63" t="s">
        <v>4917</v>
      </c>
      <c r="E1162" s="63" t="s">
        <v>4918</v>
      </c>
      <c r="F1162" s="63" t="s">
        <v>4919</v>
      </c>
      <c r="G1162" s="63" t="s">
        <v>4920</v>
      </c>
      <c r="H1162" s="63" t="s">
        <v>18</v>
      </c>
      <c r="I1162" s="63" t="s">
        <v>1608</v>
      </c>
    </row>
    <row r="1163" ht="11.25" customHeight="1">
      <c r="A1163" s="63" t="s">
        <v>2167</v>
      </c>
      <c r="B1163" s="63" t="s">
        <v>14</v>
      </c>
      <c r="C1163" s="63" t="s">
        <v>4921</v>
      </c>
      <c r="D1163" s="63" t="s">
        <v>4922</v>
      </c>
      <c r="E1163" s="63" t="s">
        <v>4923</v>
      </c>
      <c r="F1163" s="63" t="s">
        <v>2522</v>
      </c>
      <c r="G1163" s="63" t="s">
        <v>18</v>
      </c>
      <c r="H1163" s="63" t="s">
        <v>18</v>
      </c>
      <c r="I1163" s="63" t="s">
        <v>1608</v>
      </c>
    </row>
    <row r="1164" ht="11.25" customHeight="1">
      <c r="A1164" s="63" t="s">
        <v>2167</v>
      </c>
      <c r="B1164" s="63" t="s">
        <v>14</v>
      </c>
      <c r="C1164" s="63" t="s">
        <v>4924</v>
      </c>
      <c r="D1164" s="63" t="s">
        <v>4925</v>
      </c>
      <c r="E1164" s="63" t="s">
        <v>4926</v>
      </c>
      <c r="F1164" s="63" t="s">
        <v>2249</v>
      </c>
      <c r="G1164" s="63" t="s">
        <v>4927</v>
      </c>
      <c r="H1164" s="63" t="s">
        <v>18</v>
      </c>
      <c r="I1164" s="63" t="s">
        <v>1608</v>
      </c>
    </row>
    <row r="1165" ht="11.25" customHeight="1">
      <c r="A1165" s="63" t="s">
        <v>2167</v>
      </c>
      <c r="B1165" s="63" t="s">
        <v>14</v>
      </c>
      <c r="C1165" s="63" t="s">
        <v>4928</v>
      </c>
      <c r="D1165" s="63" t="s">
        <v>4929</v>
      </c>
      <c r="E1165" s="63" t="s">
        <v>4930</v>
      </c>
      <c r="F1165" s="63" t="s">
        <v>2550</v>
      </c>
      <c r="G1165" s="63" t="s">
        <v>4931</v>
      </c>
      <c r="H1165" s="63" t="s">
        <v>18</v>
      </c>
      <c r="I1165" s="63" t="s">
        <v>1608</v>
      </c>
    </row>
    <row r="1166" ht="11.25" customHeight="1">
      <c r="A1166" s="63" t="s">
        <v>2167</v>
      </c>
      <c r="B1166" s="63" t="s">
        <v>14</v>
      </c>
      <c r="C1166" s="63" t="s">
        <v>4932</v>
      </c>
      <c r="D1166" s="63" t="s">
        <v>4933</v>
      </c>
      <c r="E1166" s="63" t="s">
        <v>4934</v>
      </c>
      <c r="F1166" s="63" t="s">
        <v>4935</v>
      </c>
      <c r="G1166" s="63" t="s">
        <v>4936</v>
      </c>
      <c r="H1166" s="63" t="s">
        <v>18</v>
      </c>
      <c r="I1166" s="63" t="s">
        <v>1608</v>
      </c>
    </row>
    <row r="1167" ht="11.25" customHeight="1">
      <c r="A1167" s="63" t="s">
        <v>2167</v>
      </c>
      <c r="B1167" s="63" t="s">
        <v>14</v>
      </c>
      <c r="C1167" s="63" t="s">
        <v>4937</v>
      </c>
      <c r="D1167" s="63" t="s">
        <v>4938</v>
      </c>
      <c r="E1167" s="63" t="s">
        <v>4939</v>
      </c>
      <c r="F1167" s="63" t="s">
        <v>4940</v>
      </c>
      <c r="G1167" s="63" t="s">
        <v>4941</v>
      </c>
      <c r="H1167" s="63" t="s">
        <v>18</v>
      </c>
      <c r="I1167" s="63" t="s">
        <v>1608</v>
      </c>
    </row>
    <row r="1168" ht="11.25" customHeight="1">
      <c r="A1168" s="63" t="s">
        <v>2167</v>
      </c>
      <c r="B1168" s="63" t="s">
        <v>14</v>
      </c>
      <c r="C1168" s="63" t="s">
        <v>4942</v>
      </c>
      <c r="D1168" s="63" t="s">
        <v>4943</v>
      </c>
      <c r="E1168" s="63" t="s">
        <v>4944</v>
      </c>
      <c r="F1168" s="63" t="s">
        <v>2307</v>
      </c>
      <c r="G1168" s="63" t="s">
        <v>4945</v>
      </c>
      <c r="H1168" s="63" t="s">
        <v>18</v>
      </c>
      <c r="I1168" s="63" t="s">
        <v>1608</v>
      </c>
    </row>
    <row r="1169" ht="11.25" customHeight="1">
      <c r="A1169" s="63" t="s">
        <v>2167</v>
      </c>
      <c r="B1169" s="63" t="s">
        <v>14</v>
      </c>
      <c r="C1169" s="63" t="s">
        <v>4946</v>
      </c>
      <c r="D1169" s="63" t="s">
        <v>4943</v>
      </c>
      <c r="E1169" s="63" t="s">
        <v>4947</v>
      </c>
      <c r="F1169" s="63" t="s">
        <v>2759</v>
      </c>
      <c r="G1169" s="63" t="s">
        <v>4948</v>
      </c>
      <c r="H1169" s="63" t="s">
        <v>18</v>
      </c>
      <c r="I1169" s="63" t="s">
        <v>1608</v>
      </c>
    </row>
    <row r="1170" ht="11.25" customHeight="1">
      <c r="A1170" s="63" t="s">
        <v>2167</v>
      </c>
      <c r="B1170" s="63" t="s">
        <v>14</v>
      </c>
      <c r="C1170" s="63" t="s">
        <v>4949</v>
      </c>
      <c r="D1170" s="63" t="s">
        <v>4950</v>
      </c>
      <c r="E1170" s="63" t="s">
        <v>4951</v>
      </c>
      <c r="F1170" s="63" t="s">
        <v>3055</v>
      </c>
      <c r="G1170" s="63" t="s">
        <v>4952</v>
      </c>
      <c r="H1170" s="63" t="s">
        <v>18</v>
      </c>
      <c r="I1170" s="63" t="s">
        <v>1608</v>
      </c>
    </row>
    <row r="1171" ht="11.25" customHeight="1">
      <c r="A1171" s="63" t="s">
        <v>2167</v>
      </c>
      <c r="B1171" s="63" t="s">
        <v>14</v>
      </c>
      <c r="C1171" s="63" t="s">
        <v>4953</v>
      </c>
      <c r="D1171" s="63" t="s">
        <v>4954</v>
      </c>
      <c r="E1171" s="63" t="s">
        <v>4955</v>
      </c>
      <c r="F1171" s="63" t="s">
        <v>4956</v>
      </c>
      <c r="G1171" s="63" t="s">
        <v>4957</v>
      </c>
      <c r="H1171" s="63" t="s">
        <v>18</v>
      </c>
      <c r="I1171" s="63" t="s">
        <v>1608</v>
      </c>
    </row>
    <row r="1172" ht="11.25" customHeight="1">
      <c r="A1172" s="63" t="s">
        <v>2167</v>
      </c>
      <c r="B1172" s="63" t="s">
        <v>14</v>
      </c>
      <c r="C1172" s="63" t="s">
        <v>4958</v>
      </c>
      <c r="D1172" s="63" t="s">
        <v>4959</v>
      </c>
      <c r="E1172" s="63" t="s">
        <v>4960</v>
      </c>
      <c r="F1172" s="63" t="s">
        <v>2185</v>
      </c>
      <c r="G1172" s="63" t="s">
        <v>4961</v>
      </c>
      <c r="H1172" s="63" t="s">
        <v>18</v>
      </c>
      <c r="I1172" s="63" t="s">
        <v>1608</v>
      </c>
    </row>
    <row r="1173" ht="11.25" customHeight="1">
      <c r="A1173" s="63" t="s">
        <v>2167</v>
      </c>
      <c r="B1173" s="63" t="s">
        <v>14</v>
      </c>
      <c r="C1173" s="63" t="s">
        <v>4962</v>
      </c>
      <c r="D1173" s="63" t="s">
        <v>4963</v>
      </c>
      <c r="E1173" s="63" t="s">
        <v>4964</v>
      </c>
      <c r="F1173" s="63" t="s">
        <v>4887</v>
      </c>
      <c r="G1173" s="63" t="s">
        <v>18</v>
      </c>
      <c r="H1173" s="63" t="s">
        <v>18</v>
      </c>
      <c r="I1173" s="63" t="s">
        <v>1608</v>
      </c>
    </row>
    <row r="1174" ht="11.25" customHeight="1">
      <c r="A1174" s="63" t="s">
        <v>2167</v>
      </c>
      <c r="B1174" s="63" t="s">
        <v>14</v>
      </c>
      <c r="C1174" s="63" t="s">
        <v>4965</v>
      </c>
      <c r="D1174" s="63" t="s">
        <v>4966</v>
      </c>
      <c r="E1174" s="63" t="s">
        <v>4967</v>
      </c>
      <c r="F1174" s="63" t="s">
        <v>2249</v>
      </c>
      <c r="G1174" s="63" t="s">
        <v>4968</v>
      </c>
      <c r="H1174" s="63" t="s">
        <v>18</v>
      </c>
      <c r="I1174" s="63" t="s">
        <v>1608</v>
      </c>
    </row>
    <row r="1175" ht="11.25" customHeight="1">
      <c r="A1175" s="63" t="s">
        <v>2167</v>
      </c>
      <c r="B1175" s="63" t="s">
        <v>14</v>
      </c>
      <c r="C1175" s="63" t="s">
        <v>4969</v>
      </c>
      <c r="D1175" s="63" t="s">
        <v>4970</v>
      </c>
      <c r="E1175" s="63" t="s">
        <v>4971</v>
      </c>
      <c r="F1175" s="63" t="s">
        <v>4972</v>
      </c>
      <c r="G1175" s="63" t="s">
        <v>18</v>
      </c>
      <c r="H1175" s="63" t="s">
        <v>18</v>
      </c>
      <c r="I1175" s="63" t="s">
        <v>1608</v>
      </c>
    </row>
    <row r="1176" ht="11.25" customHeight="1">
      <c r="A1176" s="63" t="s">
        <v>2167</v>
      </c>
      <c r="B1176" s="63" t="s">
        <v>14</v>
      </c>
      <c r="C1176" s="63" t="s">
        <v>4973</v>
      </c>
      <c r="D1176" s="63" t="s">
        <v>4974</v>
      </c>
      <c r="E1176" s="63" t="s">
        <v>4975</v>
      </c>
      <c r="F1176" s="63" t="s">
        <v>2645</v>
      </c>
      <c r="G1176" s="63" t="s">
        <v>4976</v>
      </c>
      <c r="H1176" s="63" t="s">
        <v>18</v>
      </c>
      <c r="I1176" s="63" t="s">
        <v>1608</v>
      </c>
    </row>
    <row r="1177" ht="11.25" customHeight="1">
      <c r="A1177" s="63" t="s">
        <v>2167</v>
      </c>
      <c r="B1177" s="63" t="s">
        <v>14</v>
      </c>
      <c r="C1177" s="63" t="s">
        <v>4977</v>
      </c>
      <c r="D1177" s="63" t="s">
        <v>4978</v>
      </c>
      <c r="E1177" s="63" t="s">
        <v>4979</v>
      </c>
      <c r="F1177" s="63" t="s">
        <v>2249</v>
      </c>
      <c r="G1177" s="63" t="s">
        <v>18</v>
      </c>
      <c r="H1177" s="63" t="s">
        <v>18</v>
      </c>
      <c r="I1177" s="63" t="s">
        <v>1608</v>
      </c>
    </row>
    <row r="1178" ht="11.25" customHeight="1">
      <c r="A1178" s="63" t="s">
        <v>2167</v>
      </c>
      <c r="B1178" s="63" t="s">
        <v>14</v>
      </c>
      <c r="C1178" s="63" t="s">
        <v>4980</v>
      </c>
      <c r="D1178" s="63" t="s">
        <v>4981</v>
      </c>
      <c r="E1178" s="63" t="s">
        <v>4982</v>
      </c>
      <c r="F1178" s="63" t="s">
        <v>2249</v>
      </c>
      <c r="G1178" s="63" t="s">
        <v>18</v>
      </c>
      <c r="H1178" s="63" t="s">
        <v>18</v>
      </c>
      <c r="I1178" s="63" t="s">
        <v>1608</v>
      </c>
    </row>
    <row r="1179" ht="11.25" customHeight="1">
      <c r="A1179" s="63" t="s">
        <v>2167</v>
      </c>
      <c r="B1179" s="63" t="s">
        <v>14</v>
      </c>
      <c r="C1179" s="63" t="s">
        <v>4983</v>
      </c>
      <c r="D1179" s="63" t="s">
        <v>4984</v>
      </c>
      <c r="E1179" s="63" t="s">
        <v>4985</v>
      </c>
      <c r="F1179" s="63" t="s">
        <v>2493</v>
      </c>
      <c r="G1179" s="63" t="s">
        <v>18</v>
      </c>
      <c r="H1179" s="63" t="s">
        <v>18</v>
      </c>
      <c r="I1179" s="63" t="s">
        <v>1608</v>
      </c>
    </row>
    <row r="1180" ht="11.25" customHeight="1">
      <c r="A1180" s="63" t="s">
        <v>2167</v>
      </c>
      <c r="B1180" s="63" t="s">
        <v>14</v>
      </c>
      <c r="C1180" s="63" t="s">
        <v>4986</v>
      </c>
      <c r="D1180" s="63" t="s">
        <v>4987</v>
      </c>
      <c r="E1180" s="63" t="s">
        <v>4988</v>
      </c>
      <c r="F1180" s="63" t="s">
        <v>2171</v>
      </c>
      <c r="G1180" s="63" t="s">
        <v>4989</v>
      </c>
      <c r="H1180" s="63" t="s">
        <v>18</v>
      </c>
      <c r="I1180" s="63" t="s">
        <v>1608</v>
      </c>
    </row>
    <row r="1181" ht="11.25" customHeight="1">
      <c r="A1181" s="63" t="s">
        <v>2167</v>
      </c>
      <c r="B1181" s="63" t="s">
        <v>14</v>
      </c>
      <c r="C1181" s="63" t="s">
        <v>4990</v>
      </c>
      <c r="D1181" s="63" t="s">
        <v>4991</v>
      </c>
      <c r="E1181" s="63" t="s">
        <v>4992</v>
      </c>
      <c r="F1181" s="63" t="s">
        <v>2222</v>
      </c>
      <c r="G1181" s="63" t="s">
        <v>4993</v>
      </c>
      <c r="H1181" s="63" t="s">
        <v>18</v>
      </c>
      <c r="I1181" s="63" t="s">
        <v>1608</v>
      </c>
    </row>
    <row r="1182" ht="11.25" customHeight="1">
      <c r="A1182" s="63" t="s">
        <v>2167</v>
      </c>
      <c r="B1182" s="63" t="s">
        <v>14</v>
      </c>
      <c r="C1182" s="63" t="s">
        <v>4994</v>
      </c>
      <c r="D1182" s="63" t="s">
        <v>4995</v>
      </c>
      <c r="E1182" s="63" t="s">
        <v>4996</v>
      </c>
      <c r="F1182" s="63" t="s">
        <v>2260</v>
      </c>
      <c r="G1182" s="63" t="s">
        <v>4997</v>
      </c>
      <c r="H1182" s="63" t="s">
        <v>18</v>
      </c>
      <c r="I1182" s="63" t="s">
        <v>1608</v>
      </c>
    </row>
    <row r="1183" ht="11.25" customHeight="1">
      <c r="A1183" s="63" t="s">
        <v>2167</v>
      </c>
      <c r="B1183" s="63" t="s">
        <v>14</v>
      </c>
      <c r="C1183" s="63" t="s">
        <v>4542</v>
      </c>
      <c r="D1183" s="63" t="s">
        <v>4543</v>
      </c>
      <c r="E1183" s="63" t="s">
        <v>4544</v>
      </c>
      <c r="F1183" s="63" t="s">
        <v>4545</v>
      </c>
      <c r="G1183" s="63" t="s">
        <v>4546</v>
      </c>
      <c r="H1183" s="63" t="s">
        <v>18</v>
      </c>
      <c r="I1183" s="63" t="s">
        <v>1608</v>
      </c>
    </row>
    <row r="1184" ht="11.25" customHeight="1">
      <c r="A1184" s="63" t="s">
        <v>2167</v>
      </c>
      <c r="B1184" s="63" t="s">
        <v>14</v>
      </c>
      <c r="C1184" s="63" t="s">
        <v>4998</v>
      </c>
      <c r="D1184" s="63" t="s">
        <v>4999</v>
      </c>
      <c r="E1184" s="63" t="s">
        <v>5000</v>
      </c>
      <c r="F1184" s="63" t="s">
        <v>2598</v>
      </c>
      <c r="G1184" s="63" t="s">
        <v>5001</v>
      </c>
      <c r="H1184" s="63" t="s">
        <v>18</v>
      </c>
      <c r="I1184" s="63" t="s">
        <v>1608</v>
      </c>
    </row>
    <row r="1185" ht="11.25" customHeight="1">
      <c r="A1185" s="63" t="s">
        <v>2167</v>
      </c>
      <c r="B1185" s="63" t="s">
        <v>14</v>
      </c>
      <c r="C1185" s="63" t="s">
        <v>5002</v>
      </c>
      <c r="D1185" s="63" t="s">
        <v>5003</v>
      </c>
      <c r="E1185" s="63" t="s">
        <v>4544</v>
      </c>
      <c r="F1185" s="63" t="s">
        <v>2218</v>
      </c>
      <c r="G1185" s="63" t="s">
        <v>5004</v>
      </c>
      <c r="H1185" s="63" t="s">
        <v>18</v>
      </c>
      <c r="I1185" s="63" t="s">
        <v>1608</v>
      </c>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cols>
    <col min="1" max="1" style="63" width="9.140625"/>
  </cols>
  <sheetData>
    <row r="1" ht="11.25" customHeight="1">
      <c r="A1" t="s">
        <v>5005</v>
      </c>
      <c r="B1" t="s">
        <v>5006</v>
      </c>
      <c r="C1" t="s">
        <v>5007</v>
      </c>
      <c r="D1" t="s">
        <v>5008</v>
      </c>
      <c r="E1" t="s">
        <v>5009</v>
      </c>
      <c r="F1" t="s">
        <v>5010</v>
      </c>
      <c r="G1" t="s">
        <v>5011</v>
      </c>
    </row>
    <row r="2" ht="11.25" customHeight="1">
      <c r="A2" t="s">
        <v>14</v>
      </c>
      <c r="B2" t="s">
        <v>5012</v>
      </c>
      <c r="C2" t="s">
        <v>5013</v>
      </c>
      <c r="D2" t="s">
        <v>5012</v>
      </c>
      <c r="E2" t="s">
        <v>5013</v>
      </c>
      <c r="F2" t="s">
        <v>5014</v>
      </c>
      <c r="G2" t="s">
        <v>111</v>
      </c>
    </row>
    <row r="3" ht="11.25" customHeight="1">
      <c r="A3" t="s">
        <v>14</v>
      </c>
      <c r="B3" t="s">
        <v>5012</v>
      </c>
      <c r="C3" t="s">
        <v>5013</v>
      </c>
      <c r="D3" t="s">
        <v>5015</v>
      </c>
      <c r="E3" t="s">
        <v>5016</v>
      </c>
      <c r="F3" t="s">
        <v>5017</v>
      </c>
      <c r="G3" t="s">
        <v>99</v>
      </c>
    </row>
    <row r="4" ht="11.25" customHeight="1">
      <c r="A4" t="s">
        <v>14</v>
      </c>
      <c r="B4" t="s">
        <v>5012</v>
      </c>
      <c r="C4" t="s">
        <v>5013</v>
      </c>
      <c r="D4" t="s">
        <v>5018</v>
      </c>
      <c r="E4" t="s">
        <v>5019</v>
      </c>
      <c r="F4" t="s">
        <v>5020</v>
      </c>
      <c r="G4" t="s">
        <v>87</v>
      </c>
    </row>
    <row r="5" ht="11.25" customHeight="1">
      <c r="A5" t="s">
        <v>14</v>
      </c>
      <c r="B5" t="s">
        <v>5012</v>
      </c>
      <c r="C5" t="s">
        <v>5013</v>
      </c>
      <c r="D5" t="s">
        <v>5021</v>
      </c>
      <c r="E5" t="s">
        <v>5022</v>
      </c>
      <c r="F5" t="s">
        <v>5023</v>
      </c>
      <c r="G5" t="s">
        <v>88</v>
      </c>
    </row>
    <row r="6" ht="11.25" customHeight="1">
      <c r="A6" t="s">
        <v>14</v>
      </c>
      <c r="B6" t="s">
        <v>5012</v>
      </c>
      <c r="C6" t="s">
        <v>5013</v>
      </c>
      <c r="D6" t="s">
        <v>5024</v>
      </c>
      <c r="E6" t="s">
        <v>5025</v>
      </c>
      <c r="F6" t="s">
        <v>5023</v>
      </c>
      <c r="G6" t="s">
        <v>112</v>
      </c>
    </row>
    <row r="7" ht="11.25" customHeight="1">
      <c r="A7" t="s">
        <v>14</v>
      </c>
      <c r="B7" t="s">
        <v>5012</v>
      </c>
      <c r="C7" t="s">
        <v>5013</v>
      </c>
      <c r="D7" t="s">
        <v>5026</v>
      </c>
      <c r="E7" t="s">
        <v>5027</v>
      </c>
      <c r="F7" t="s">
        <v>5023</v>
      </c>
      <c r="G7" t="s">
        <v>89</v>
      </c>
    </row>
    <row r="8" ht="11.25" customHeight="1">
      <c r="A8" t="s">
        <v>14</v>
      </c>
      <c r="B8" t="s">
        <v>5012</v>
      </c>
      <c r="C8" t="s">
        <v>5013</v>
      </c>
      <c r="D8" t="s">
        <v>5028</v>
      </c>
      <c r="E8" t="s">
        <v>5029</v>
      </c>
      <c r="F8" t="s">
        <v>5023</v>
      </c>
      <c r="G8" t="s">
        <v>90</v>
      </c>
    </row>
    <row r="9" ht="11.25" customHeight="1">
      <c r="A9" t="s">
        <v>14</v>
      </c>
      <c r="B9" t="s">
        <v>5012</v>
      </c>
      <c r="C9" t="s">
        <v>5013</v>
      </c>
      <c r="D9" t="s">
        <v>5030</v>
      </c>
      <c r="E9" t="s">
        <v>5031</v>
      </c>
      <c r="F9" t="s">
        <v>5023</v>
      </c>
      <c r="G9" t="s">
        <v>113</v>
      </c>
    </row>
    <row r="10" ht="11.25" customHeight="1">
      <c r="A10" t="s">
        <v>14</v>
      </c>
      <c r="B10" t="s">
        <v>5012</v>
      </c>
      <c r="C10" t="s">
        <v>5013</v>
      </c>
      <c r="D10" t="s">
        <v>5032</v>
      </c>
      <c r="E10" t="s">
        <v>5033</v>
      </c>
      <c r="F10" t="s">
        <v>5023</v>
      </c>
      <c r="G10" t="s">
        <v>150</v>
      </c>
    </row>
    <row r="11" ht="11.25" customHeight="1">
      <c r="A11" t="s">
        <v>14</v>
      </c>
      <c r="B11" t="s">
        <v>5034</v>
      </c>
      <c r="C11" t="s">
        <v>5035</v>
      </c>
      <c r="D11" t="s">
        <v>5034</v>
      </c>
      <c r="E11" t="s">
        <v>5035</v>
      </c>
      <c r="F11" t="s">
        <v>5014</v>
      </c>
      <c r="G11" t="s">
        <v>151</v>
      </c>
    </row>
    <row r="12" ht="11.25" customHeight="1">
      <c r="A12" t="s">
        <v>14</v>
      </c>
      <c r="B12" t="s">
        <v>5034</v>
      </c>
      <c r="C12" t="s">
        <v>5035</v>
      </c>
      <c r="D12" t="s">
        <v>5036</v>
      </c>
      <c r="E12" t="s">
        <v>5037</v>
      </c>
      <c r="F12" t="s">
        <v>5017</v>
      </c>
      <c r="G12" t="s">
        <v>152</v>
      </c>
    </row>
    <row r="13" ht="11.25" customHeight="1">
      <c r="A13" t="s">
        <v>14</v>
      </c>
      <c r="B13" t="s">
        <v>5034</v>
      </c>
      <c r="C13" t="s">
        <v>5035</v>
      </c>
      <c r="D13" t="s">
        <v>5038</v>
      </c>
      <c r="E13" t="s">
        <v>5039</v>
      </c>
      <c r="F13" t="s">
        <v>5023</v>
      </c>
      <c r="G13" t="s">
        <v>153</v>
      </c>
    </row>
    <row r="14" ht="11.25" customHeight="1">
      <c r="A14" t="s">
        <v>14</v>
      </c>
      <c r="B14" t="s">
        <v>5034</v>
      </c>
      <c r="C14" t="s">
        <v>5035</v>
      </c>
      <c r="D14" t="s">
        <v>5040</v>
      </c>
      <c r="E14" t="s">
        <v>5041</v>
      </c>
      <c r="F14" t="s">
        <v>5023</v>
      </c>
      <c r="G14" t="s">
        <v>154</v>
      </c>
    </row>
    <row r="15" ht="11.25" customHeight="1">
      <c r="A15" t="s">
        <v>14</v>
      </c>
      <c r="B15" t="s">
        <v>5034</v>
      </c>
      <c r="C15" t="s">
        <v>5035</v>
      </c>
      <c r="D15" t="s">
        <v>5042</v>
      </c>
      <c r="E15" t="s">
        <v>5043</v>
      </c>
      <c r="F15" t="s">
        <v>5023</v>
      </c>
      <c r="G15" t="s">
        <v>155</v>
      </c>
    </row>
    <row r="16" ht="11.25" customHeight="1">
      <c r="A16" t="s">
        <v>14</v>
      </c>
      <c r="B16" t="s">
        <v>5034</v>
      </c>
      <c r="C16" t="s">
        <v>5035</v>
      </c>
      <c r="D16" t="s">
        <v>5044</v>
      </c>
      <c r="E16" t="s">
        <v>5045</v>
      </c>
      <c r="F16" t="s">
        <v>5023</v>
      </c>
      <c r="G16" t="s">
        <v>1453</v>
      </c>
    </row>
    <row r="17" ht="11.25" customHeight="1">
      <c r="A17" t="s">
        <v>14</v>
      </c>
      <c r="B17" t="s">
        <v>5034</v>
      </c>
      <c r="C17" t="s">
        <v>5035</v>
      </c>
      <c r="D17" t="s">
        <v>5046</v>
      </c>
      <c r="E17" t="s">
        <v>5047</v>
      </c>
      <c r="F17" t="s">
        <v>5020</v>
      </c>
      <c r="G17" t="s">
        <v>1459</v>
      </c>
    </row>
    <row r="18" ht="11.25" customHeight="1">
      <c r="A18" t="s">
        <v>14</v>
      </c>
      <c r="B18" t="s">
        <v>5034</v>
      </c>
      <c r="C18" t="s">
        <v>5035</v>
      </c>
      <c r="D18" t="s">
        <v>5048</v>
      </c>
      <c r="E18" t="s">
        <v>5049</v>
      </c>
      <c r="F18" t="s">
        <v>5023</v>
      </c>
      <c r="G18" t="s">
        <v>1470</v>
      </c>
    </row>
    <row r="19" ht="11.25" customHeight="1">
      <c r="A19" t="s">
        <v>14</v>
      </c>
      <c r="B19" t="s">
        <v>5034</v>
      </c>
      <c r="C19" t="s">
        <v>5035</v>
      </c>
      <c r="D19" t="s">
        <v>5050</v>
      </c>
      <c r="E19" t="s">
        <v>5051</v>
      </c>
      <c r="F19" t="s">
        <v>5023</v>
      </c>
      <c r="G19" t="s">
        <v>1484</v>
      </c>
    </row>
    <row r="20" ht="11.25" customHeight="1">
      <c r="A20" t="s">
        <v>14</v>
      </c>
      <c r="B20" t="s">
        <v>5034</v>
      </c>
      <c r="C20" t="s">
        <v>5035</v>
      </c>
      <c r="D20" t="s">
        <v>5052</v>
      </c>
      <c r="E20" t="s">
        <v>5053</v>
      </c>
      <c r="F20" t="s">
        <v>5023</v>
      </c>
      <c r="G20" t="s">
        <v>1496</v>
      </c>
    </row>
    <row r="21" ht="11.25" customHeight="1">
      <c r="A21" t="s">
        <v>14</v>
      </c>
      <c r="B21" t="s">
        <v>5034</v>
      </c>
      <c r="C21" t="s">
        <v>5035</v>
      </c>
      <c r="D21" t="s">
        <v>5054</v>
      </c>
      <c r="E21" t="s">
        <v>5055</v>
      </c>
      <c r="F21" t="s">
        <v>5023</v>
      </c>
      <c r="G21" t="s">
        <v>1505</v>
      </c>
    </row>
    <row r="22" ht="11.25" customHeight="1">
      <c r="A22" t="s">
        <v>14</v>
      </c>
      <c r="B22" t="s">
        <v>5034</v>
      </c>
      <c r="C22" t="s">
        <v>5035</v>
      </c>
      <c r="D22" t="s">
        <v>5056</v>
      </c>
      <c r="E22" t="s">
        <v>5057</v>
      </c>
      <c r="F22" t="s">
        <v>5017</v>
      </c>
      <c r="G22" t="s">
        <v>1521</v>
      </c>
    </row>
    <row r="23" ht="11.25" customHeight="1">
      <c r="A23" t="s">
        <v>14</v>
      </c>
      <c r="B23" t="s">
        <v>5034</v>
      </c>
      <c r="C23" t="s">
        <v>5035</v>
      </c>
      <c r="D23" t="s">
        <v>5058</v>
      </c>
      <c r="E23" t="s">
        <v>5059</v>
      </c>
      <c r="F23" t="s">
        <v>5023</v>
      </c>
      <c r="G23" t="s">
        <v>1528</v>
      </c>
    </row>
    <row r="24" ht="11.25" customHeight="1">
      <c r="A24" t="s">
        <v>14</v>
      </c>
      <c r="B24" t="s">
        <v>5060</v>
      </c>
      <c r="C24" t="s">
        <v>5061</v>
      </c>
      <c r="D24" t="s">
        <v>5060</v>
      </c>
      <c r="E24" t="s">
        <v>5061</v>
      </c>
      <c r="F24" t="s">
        <v>5014</v>
      </c>
      <c r="G24" t="s">
        <v>1536</v>
      </c>
    </row>
    <row r="25" ht="11.25" customHeight="1">
      <c r="A25" t="s">
        <v>14</v>
      </c>
      <c r="B25" t="s">
        <v>5060</v>
      </c>
      <c r="C25" t="s">
        <v>5061</v>
      </c>
      <c r="D25" t="s">
        <v>5062</v>
      </c>
      <c r="E25" t="s">
        <v>5063</v>
      </c>
      <c r="F25" t="s">
        <v>5023</v>
      </c>
      <c r="G25" t="s">
        <v>1543</v>
      </c>
    </row>
    <row r="26" ht="11.25" customHeight="1">
      <c r="A26" t="s">
        <v>14</v>
      </c>
      <c r="B26" t="s">
        <v>5060</v>
      </c>
      <c r="C26" t="s">
        <v>5061</v>
      </c>
      <c r="D26" t="s">
        <v>5064</v>
      </c>
      <c r="E26" t="s">
        <v>5065</v>
      </c>
      <c r="F26" t="s">
        <v>5023</v>
      </c>
      <c r="G26" t="s">
        <v>1547</v>
      </c>
    </row>
    <row r="27" ht="11.25" customHeight="1">
      <c r="A27" t="s">
        <v>14</v>
      </c>
      <c r="B27" t="s">
        <v>5060</v>
      </c>
      <c r="C27" t="s">
        <v>5061</v>
      </c>
      <c r="D27" t="s">
        <v>5066</v>
      </c>
      <c r="E27" t="s">
        <v>5067</v>
      </c>
      <c r="F27" t="s">
        <v>5023</v>
      </c>
      <c r="G27" t="s">
        <v>1552</v>
      </c>
    </row>
    <row r="28" ht="11.25" customHeight="1">
      <c r="A28" t="s">
        <v>14</v>
      </c>
      <c r="B28" t="s">
        <v>5060</v>
      </c>
      <c r="C28" t="s">
        <v>5061</v>
      </c>
      <c r="D28" t="s">
        <v>5068</v>
      </c>
      <c r="E28" t="s">
        <v>5069</v>
      </c>
      <c r="F28" t="s">
        <v>5023</v>
      </c>
      <c r="G28" t="s">
        <v>1560</v>
      </c>
    </row>
    <row r="29" ht="11.25" customHeight="1">
      <c r="A29" t="s">
        <v>14</v>
      </c>
      <c r="B29" t="s">
        <v>5070</v>
      </c>
      <c r="C29" t="s">
        <v>5071</v>
      </c>
      <c r="D29" t="s">
        <v>5070</v>
      </c>
      <c r="E29" t="s">
        <v>5071</v>
      </c>
      <c r="F29" t="s">
        <v>5014</v>
      </c>
      <c r="G29" t="s">
        <v>1561</v>
      </c>
    </row>
    <row r="30" ht="11.25" customHeight="1">
      <c r="A30" t="s">
        <v>14</v>
      </c>
      <c r="B30" t="s">
        <v>5070</v>
      </c>
      <c r="C30" t="s">
        <v>5071</v>
      </c>
      <c r="D30" t="s">
        <v>5072</v>
      </c>
      <c r="E30" t="s">
        <v>5073</v>
      </c>
      <c r="F30" t="s">
        <v>5017</v>
      </c>
      <c r="G30" t="s">
        <v>1564</v>
      </c>
    </row>
    <row r="31" ht="11.25" customHeight="1">
      <c r="A31" t="s">
        <v>14</v>
      </c>
      <c r="B31" t="s">
        <v>5070</v>
      </c>
      <c r="C31" t="s">
        <v>5071</v>
      </c>
      <c r="D31" t="s">
        <v>5074</v>
      </c>
      <c r="E31" t="s">
        <v>5075</v>
      </c>
      <c r="F31" t="s">
        <v>5023</v>
      </c>
      <c r="G31" t="s">
        <v>1570</v>
      </c>
    </row>
    <row r="32" ht="11.25" customHeight="1">
      <c r="A32" t="s">
        <v>14</v>
      </c>
      <c r="B32" t="s">
        <v>5070</v>
      </c>
      <c r="C32" t="s">
        <v>5071</v>
      </c>
      <c r="D32" t="s">
        <v>5076</v>
      </c>
      <c r="E32" t="s">
        <v>5077</v>
      </c>
      <c r="F32" t="s">
        <v>5023</v>
      </c>
      <c r="G32" t="s">
        <v>1572</v>
      </c>
    </row>
    <row r="33" ht="11.25" customHeight="1">
      <c r="A33" t="s">
        <v>14</v>
      </c>
      <c r="B33" t="s">
        <v>5070</v>
      </c>
      <c r="C33" t="s">
        <v>5071</v>
      </c>
      <c r="D33" t="s">
        <v>5078</v>
      </c>
      <c r="E33" t="s">
        <v>5079</v>
      </c>
      <c r="F33" t="s">
        <v>5023</v>
      </c>
      <c r="G33" t="s">
        <v>1574</v>
      </c>
    </row>
    <row r="34" ht="11.25" customHeight="1">
      <c r="A34" t="s">
        <v>14</v>
      </c>
      <c r="B34" t="s">
        <v>5070</v>
      </c>
      <c r="C34" t="s">
        <v>5071</v>
      </c>
      <c r="D34" t="s">
        <v>5080</v>
      </c>
      <c r="E34" t="s">
        <v>5081</v>
      </c>
      <c r="F34" t="s">
        <v>5023</v>
      </c>
      <c r="G34" t="s">
        <v>1576</v>
      </c>
    </row>
    <row r="35" ht="11.25" customHeight="1">
      <c r="A35" t="s">
        <v>14</v>
      </c>
      <c r="B35" t="s">
        <v>5070</v>
      </c>
      <c r="C35" t="s">
        <v>5071</v>
      </c>
      <c r="D35" t="s">
        <v>5082</v>
      </c>
      <c r="E35" t="s">
        <v>5083</v>
      </c>
      <c r="F35" t="s">
        <v>5023</v>
      </c>
      <c r="G35" t="s">
        <v>1581</v>
      </c>
    </row>
    <row r="36" ht="11.25" customHeight="1">
      <c r="A36" t="s">
        <v>14</v>
      </c>
      <c r="B36" t="s">
        <v>5070</v>
      </c>
      <c r="C36" t="s">
        <v>5071</v>
      </c>
      <c r="D36" t="s">
        <v>5084</v>
      </c>
      <c r="E36" t="s">
        <v>5085</v>
      </c>
      <c r="F36" t="s">
        <v>5023</v>
      </c>
      <c r="G36" t="s">
        <v>1586</v>
      </c>
    </row>
    <row r="37" ht="11.25" customHeight="1">
      <c r="A37" t="s">
        <v>14</v>
      </c>
      <c r="B37" t="s">
        <v>5070</v>
      </c>
      <c r="C37" t="s">
        <v>5071</v>
      </c>
      <c r="D37" t="s">
        <v>5086</v>
      </c>
      <c r="E37" t="s">
        <v>5087</v>
      </c>
      <c r="F37" t="s">
        <v>5023</v>
      </c>
      <c r="G37" t="s">
        <v>1590</v>
      </c>
    </row>
    <row r="38" ht="11.25" customHeight="1">
      <c r="A38" t="s">
        <v>14</v>
      </c>
      <c r="B38" t="s">
        <v>5070</v>
      </c>
      <c r="C38" t="s">
        <v>5071</v>
      </c>
      <c r="D38" t="s">
        <v>5058</v>
      </c>
      <c r="E38" t="s">
        <v>5088</v>
      </c>
      <c r="F38" t="s">
        <v>5023</v>
      </c>
      <c r="G38" t="s">
        <v>1598</v>
      </c>
    </row>
    <row r="39" ht="11.25" customHeight="1">
      <c r="A39" t="s">
        <v>14</v>
      </c>
      <c r="B39" t="s">
        <v>5070</v>
      </c>
      <c r="C39" t="s">
        <v>5071</v>
      </c>
      <c r="D39" t="s">
        <v>5089</v>
      </c>
      <c r="E39" t="s">
        <v>5090</v>
      </c>
      <c r="F39" t="s">
        <v>5023</v>
      </c>
      <c r="G39" t="s">
        <v>1604</v>
      </c>
    </row>
    <row r="40" ht="11.25" customHeight="1">
      <c r="A40" t="s">
        <v>14</v>
      </c>
      <c r="B40" t="s">
        <v>5070</v>
      </c>
      <c r="C40" t="s">
        <v>5071</v>
      </c>
      <c r="D40" t="s">
        <v>5091</v>
      </c>
      <c r="E40" t="s">
        <v>5092</v>
      </c>
      <c r="F40" t="s">
        <v>5023</v>
      </c>
      <c r="G40" t="s">
        <v>1609</v>
      </c>
    </row>
    <row r="41" ht="11.25" customHeight="1">
      <c r="A41" t="s">
        <v>14</v>
      </c>
      <c r="B41" t="s">
        <v>5093</v>
      </c>
      <c r="C41" t="s">
        <v>5094</v>
      </c>
      <c r="D41" t="s">
        <v>5095</v>
      </c>
      <c r="E41" t="s">
        <v>5096</v>
      </c>
      <c r="F41" t="s">
        <v>5023</v>
      </c>
      <c r="G41" t="s">
        <v>1613</v>
      </c>
    </row>
    <row r="42" ht="11.25" customHeight="1">
      <c r="A42" t="s">
        <v>14</v>
      </c>
      <c r="B42" t="s">
        <v>5093</v>
      </c>
      <c r="C42" t="s">
        <v>5094</v>
      </c>
      <c r="D42" t="s">
        <v>5097</v>
      </c>
      <c r="E42" t="s">
        <v>5098</v>
      </c>
      <c r="F42" t="s">
        <v>5023</v>
      </c>
      <c r="G42" t="s">
        <v>1616</v>
      </c>
    </row>
    <row r="43" ht="11.25" customHeight="1">
      <c r="A43" t="s">
        <v>14</v>
      </c>
      <c r="B43" t="s">
        <v>5093</v>
      </c>
      <c r="C43" t="s">
        <v>5094</v>
      </c>
      <c r="D43" t="s">
        <v>5093</v>
      </c>
      <c r="E43" t="s">
        <v>5094</v>
      </c>
      <c r="F43" t="s">
        <v>5014</v>
      </c>
      <c r="G43" t="s">
        <v>1623</v>
      </c>
    </row>
    <row r="44" ht="11.25" customHeight="1">
      <c r="A44" t="s">
        <v>14</v>
      </c>
      <c r="B44" t="s">
        <v>5093</v>
      </c>
      <c r="C44" t="s">
        <v>5094</v>
      </c>
      <c r="D44" t="s">
        <v>5099</v>
      </c>
      <c r="E44" t="s">
        <v>5100</v>
      </c>
      <c r="F44" t="s">
        <v>5023</v>
      </c>
      <c r="G44" t="s">
        <v>1632</v>
      </c>
    </row>
    <row r="45" ht="11.25" customHeight="1">
      <c r="A45" t="s">
        <v>14</v>
      </c>
      <c r="B45" t="s">
        <v>5093</v>
      </c>
      <c r="C45" t="s">
        <v>5094</v>
      </c>
      <c r="D45" t="s">
        <v>5101</v>
      </c>
      <c r="E45" t="s">
        <v>5102</v>
      </c>
      <c r="F45" t="s">
        <v>5023</v>
      </c>
      <c r="G45" t="s">
        <v>1637</v>
      </c>
    </row>
    <row r="46" ht="11.25" customHeight="1">
      <c r="A46" t="s">
        <v>14</v>
      </c>
      <c r="B46" t="s">
        <v>5093</v>
      </c>
      <c r="C46" t="s">
        <v>5094</v>
      </c>
      <c r="D46" t="s">
        <v>5103</v>
      </c>
      <c r="E46" t="s">
        <v>5104</v>
      </c>
      <c r="F46" t="s">
        <v>5023</v>
      </c>
      <c r="G46" t="s">
        <v>1640</v>
      </c>
    </row>
    <row r="47" ht="11.25" customHeight="1">
      <c r="A47" t="s">
        <v>14</v>
      </c>
      <c r="B47" t="s">
        <v>5093</v>
      </c>
      <c r="C47" t="s">
        <v>5094</v>
      </c>
      <c r="D47" t="s">
        <v>5105</v>
      </c>
      <c r="E47" t="s">
        <v>5106</v>
      </c>
      <c r="F47" t="s">
        <v>5023</v>
      </c>
      <c r="G47" t="s">
        <v>1646</v>
      </c>
    </row>
    <row r="48" ht="11.25" customHeight="1">
      <c r="A48" t="s">
        <v>14</v>
      </c>
      <c r="B48" t="s">
        <v>5093</v>
      </c>
      <c r="C48" t="s">
        <v>5094</v>
      </c>
      <c r="D48" t="s">
        <v>5107</v>
      </c>
      <c r="E48" t="s">
        <v>5108</v>
      </c>
      <c r="F48" t="s">
        <v>5023</v>
      </c>
      <c r="G48" t="s">
        <v>1651</v>
      </c>
    </row>
    <row r="49" ht="11.25" customHeight="1">
      <c r="A49" t="s">
        <v>14</v>
      </c>
      <c r="B49" t="s">
        <v>5093</v>
      </c>
      <c r="C49" t="s">
        <v>5094</v>
      </c>
      <c r="D49" t="s">
        <v>5109</v>
      </c>
      <c r="E49" t="s">
        <v>5110</v>
      </c>
      <c r="F49" t="s">
        <v>5023</v>
      </c>
      <c r="G49" t="s">
        <v>1654</v>
      </c>
    </row>
    <row r="50" ht="11.25" customHeight="1">
      <c r="A50" t="s">
        <v>14</v>
      </c>
      <c r="B50" t="s">
        <v>5111</v>
      </c>
      <c r="C50" t="s">
        <v>5112</v>
      </c>
      <c r="D50" t="s">
        <v>5113</v>
      </c>
      <c r="E50" t="s">
        <v>5114</v>
      </c>
      <c r="F50" t="s">
        <v>5023</v>
      </c>
      <c r="G50" t="s">
        <v>1658</v>
      </c>
    </row>
    <row r="51" ht="11.25" customHeight="1">
      <c r="A51" t="s">
        <v>14</v>
      </c>
      <c r="B51" t="s">
        <v>5111</v>
      </c>
      <c r="C51" t="s">
        <v>5112</v>
      </c>
      <c r="D51" t="s">
        <v>5115</v>
      </c>
      <c r="E51" t="s">
        <v>5116</v>
      </c>
      <c r="F51" t="s">
        <v>5023</v>
      </c>
      <c r="G51" t="s">
        <v>1663</v>
      </c>
    </row>
    <row r="52" ht="11.25" customHeight="1">
      <c r="A52" t="s">
        <v>14</v>
      </c>
      <c r="B52" t="s">
        <v>5111</v>
      </c>
      <c r="C52" t="s">
        <v>5112</v>
      </c>
      <c r="D52" t="s">
        <v>5117</v>
      </c>
      <c r="E52" t="s">
        <v>5118</v>
      </c>
      <c r="F52" t="s">
        <v>5023</v>
      </c>
      <c r="G52" t="s">
        <v>1667</v>
      </c>
    </row>
    <row r="53" ht="11.25" customHeight="1">
      <c r="A53" t="s">
        <v>14</v>
      </c>
      <c r="B53" t="s">
        <v>5111</v>
      </c>
      <c r="C53" t="s">
        <v>5112</v>
      </c>
      <c r="D53" t="s">
        <v>5119</v>
      </c>
      <c r="E53" t="s">
        <v>5120</v>
      </c>
      <c r="F53" t="s">
        <v>5023</v>
      </c>
      <c r="G53" t="s">
        <v>1669</v>
      </c>
    </row>
    <row r="54" ht="11.25" customHeight="1">
      <c r="A54" t="s">
        <v>14</v>
      </c>
      <c r="B54" t="s">
        <v>5111</v>
      </c>
      <c r="C54" t="s">
        <v>5112</v>
      </c>
      <c r="D54" t="s">
        <v>5111</v>
      </c>
      <c r="E54" t="s">
        <v>5112</v>
      </c>
      <c r="F54" t="s">
        <v>5014</v>
      </c>
      <c r="G54" t="s">
        <v>1672</v>
      </c>
    </row>
    <row r="55" ht="11.25" customHeight="1">
      <c r="A55" t="s">
        <v>14</v>
      </c>
      <c r="B55" t="s">
        <v>5111</v>
      </c>
      <c r="C55" t="s">
        <v>5112</v>
      </c>
      <c r="D55" t="s">
        <v>5121</v>
      </c>
      <c r="E55" t="s">
        <v>5122</v>
      </c>
      <c r="F55" t="s">
        <v>5023</v>
      </c>
      <c r="G55" t="s">
        <v>1676</v>
      </c>
    </row>
    <row r="56" ht="11.25" customHeight="1">
      <c r="A56" t="s">
        <v>14</v>
      </c>
      <c r="B56" t="s">
        <v>5111</v>
      </c>
      <c r="C56" t="s">
        <v>5112</v>
      </c>
      <c r="D56" t="s">
        <v>5123</v>
      </c>
      <c r="E56" t="s">
        <v>5124</v>
      </c>
      <c r="F56" t="s">
        <v>5023</v>
      </c>
      <c r="G56" t="s">
        <v>1679</v>
      </c>
    </row>
    <row r="57" ht="11.25" customHeight="1">
      <c r="A57" t="s">
        <v>14</v>
      </c>
      <c r="B57" t="s">
        <v>5111</v>
      </c>
      <c r="C57" t="s">
        <v>5112</v>
      </c>
      <c r="D57" t="s">
        <v>5125</v>
      </c>
      <c r="E57" t="s">
        <v>5126</v>
      </c>
      <c r="F57" t="s">
        <v>5023</v>
      </c>
      <c r="G57" t="s">
        <v>1682</v>
      </c>
    </row>
    <row r="58" ht="11.25" customHeight="1">
      <c r="A58" t="s">
        <v>14</v>
      </c>
      <c r="B58" t="s">
        <v>5111</v>
      </c>
      <c r="C58" t="s">
        <v>5112</v>
      </c>
      <c r="D58" t="s">
        <v>5127</v>
      </c>
      <c r="E58" t="s">
        <v>5128</v>
      </c>
      <c r="F58" t="s">
        <v>5023</v>
      </c>
      <c r="G58" t="s">
        <v>1685</v>
      </c>
    </row>
    <row r="59" ht="11.25" customHeight="1">
      <c r="A59" t="s">
        <v>14</v>
      </c>
      <c r="B59" t="s">
        <v>5111</v>
      </c>
      <c r="C59" t="s">
        <v>5112</v>
      </c>
      <c r="D59" t="s">
        <v>5129</v>
      </c>
      <c r="E59" t="s">
        <v>5130</v>
      </c>
      <c r="F59" t="s">
        <v>5023</v>
      </c>
      <c r="G59" t="s">
        <v>1689</v>
      </c>
    </row>
    <row r="60" ht="11.25" customHeight="1">
      <c r="A60" t="s">
        <v>14</v>
      </c>
      <c r="B60" t="s">
        <v>5111</v>
      </c>
      <c r="C60" t="s">
        <v>5112</v>
      </c>
      <c r="D60" t="s">
        <v>5131</v>
      </c>
      <c r="E60" t="s">
        <v>5132</v>
      </c>
      <c r="F60" t="s">
        <v>5023</v>
      </c>
      <c r="G60" t="s">
        <v>1692</v>
      </c>
    </row>
    <row r="61" ht="11.25" customHeight="1">
      <c r="A61" t="s">
        <v>14</v>
      </c>
      <c r="B61" t="s">
        <v>5133</v>
      </c>
      <c r="C61" t="s">
        <v>5134</v>
      </c>
      <c r="D61" t="s">
        <v>5133</v>
      </c>
      <c r="E61" t="s">
        <v>5134</v>
      </c>
      <c r="F61" t="s">
        <v>5135</v>
      </c>
      <c r="G61" t="s">
        <v>5136</v>
      </c>
    </row>
    <row r="62" ht="11.25" customHeight="1">
      <c r="A62" t="s">
        <v>14</v>
      </c>
      <c r="B62" t="s">
        <v>5137</v>
      </c>
      <c r="C62" t="s">
        <v>5138</v>
      </c>
      <c r="D62" t="s">
        <v>5137</v>
      </c>
      <c r="E62" t="s">
        <v>5138</v>
      </c>
      <c r="F62" t="s">
        <v>5135</v>
      </c>
      <c r="G62" t="s">
        <v>5139</v>
      </c>
    </row>
    <row r="63" ht="11.25" customHeight="1">
      <c r="A63" t="s">
        <v>14</v>
      </c>
      <c r="B63" t="s">
        <v>5140</v>
      </c>
      <c r="C63" t="s">
        <v>5141</v>
      </c>
      <c r="D63" t="s">
        <v>5140</v>
      </c>
      <c r="E63" t="s">
        <v>5141</v>
      </c>
      <c r="F63" t="s">
        <v>5135</v>
      </c>
      <c r="G63" t="s">
        <v>5142</v>
      </c>
    </row>
    <row r="64" ht="11.25" customHeight="1">
      <c r="A64" t="s">
        <v>14</v>
      </c>
      <c r="B64" t="s">
        <v>5143</v>
      </c>
      <c r="C64" t="s">
        <v>5144</v>
      </c>
      <c r="D64" t="s">
        <v>5143</v>
      </c>
      <c r="E64" t="s">
        <v>5144</v>
      </c>
      <c r="F64" t="s">
        <v>5135</v>
      </c>
      <c r="G64" t="s">
        <v>5145</v>
      </c>
    </row>
    <row r="65" ht="11.25" customHeight="1">
      <c r="A65" t="s">
        <v>14</v>
      </c>
      <c r="B65" t="s">
        <v>5146</v>
      </c>
      <c r="C65" t="s">
        <v>5147</v>
      </c>
      <c r="D65" t="s">
        <v>5146</v>
      </c>
      <c r="E65" t="s">
        <v>5147</v>
      </c>
      <c r="F65" t="s">
        <v>5135</v>
      </c>
      <c r="G65" t="s">
        <v>5148</v>
      </c>
    </row>
    <row r="66" ht="11.25" customHeight="1">
      <c r="A66" t="s">
        <v>14</v>
      </c>
      <c r="B66" t="s">
        <v>5149</v>
      </c>
      <c r="C66" t="s">
        <v>5150</v>
      </c>
      <c r="D66" t="s">
        <v>5149</v>
      </c>
      <c r="E66" t="s">
        <v>5150</v>
      </c>
      <c r="F66" t="s">
        <v>5135</v>
      </c>
      <c r="G66" t="s">
        <v>5151</v>
      </c>
    </row>
    <row r="67" ht="11.25" customHeight="1">
      <c r="A67" t="s">
        <v>14</v>
      </c>
      <c r="B67" t="s">
        <v>97</v>
      </c>
      <c r="C67" t="s">
        <v>98</v>
      </c>
      <c r="D67" t="s">
        <v>97</v>
      </c>
      <c r="E67" t="s">
        <v>98</v>
      </c>
      <c r="F67" t="s">
        <v>5135</v>
      </c>
      <c r="G67" t="s">
        <v>96</v>
      </c>
    </row>
    <row r="68" ht="11.25" customHeight="1">
      <c r="A68" t="s">
        <v>14</v>
      </c>
      <c r="B68" t="s">
        <v>5152</v>
      </c>
      <c r="C68" t="s">
        <v>5153</v>
      </c>
      <c r="D68" t="s">
        <v>5154</v>
      </c>
      <c r="E68" t="s">
        <v>5155</v>
      </c>
      <c r="F68" t="s">
        <v>5023</v>
      </c>
      <c r="G68" t="s">
        <v>5156</v>
      </c>
    </row>
    <row r="69" ht="11.25" customHeight="1">
      <c r="A69" t="s">
        <v>14</v>
      </c>
      <c r="B69" t="s">
        <v>5152</v>
      </c>
      <c r="C69" t="s">
        <v>5153</v>
      </c>
      <c r="D69" t="s">
        <v>5157</v>
      </c>
      <c r="E69" t="s">
        <v>5158</v>
      </c>
      <c r="F69" t="s">
        <v>5020</v>
      </c>
      <c r="G69" t="s">
        <v>2124</v>
      </c>
    </row>
    <row r="70" ht="11.25" customHeight="1">
      <c r="A70" t="s">
        <v>14</v>
      </c>
      <c r="B70" t="s">
        <v>5152</v>
      </c>
      <c r="C70" t="s">
        <v>5153</v>
      </c>
      <c r="D70" t="s">
        <v>5152</v>
      </c>
      <c r="E70" t="s">
        <v>5153</v>
      </c>
      <c r="F70" t="s">
        <v>5014</v>
      </c>
      <c r="G70" t="s">
        <v>5159</v>
      </c>
    </row>
    <row r="71" ht="11.25" customHeight="1">
      <c r="A71" t="s">
        <v>14</v>
      </c>
      <c r="B71" t="s">
        <v>5152</v>
      </c>
      <c r="C71" t="s">
        <v>5153</v>
      </c>
      <c r="D71" t="s">
        <v>5160</v>
      </c>
      <c r="E71" t="s">
        <v>5161</v>
      </c>
      <c r="F71" t="s">
        <v>5017</v>
      </c>
      <c r="G71" t="s">
        <v>5162</v>
      </c>
    </row>
    <row r="72" ht="11.25" customHeight="1">
      <c r="A72" t="s">
        <v>14</v>
      </c>
      <c r="B72" t="s">
        <v>5152</v>
      </c>
      <c r="C72" t="s">
        <v>5153</v>
      </c>
      <c r="D72" t="s">
        <v>5163</v>
      </c>
      <c r="E72" t="s">
        <v>5164</v>
      </c>
      <c r="F72" t="s">
        <v>5023</v>
      </c>
      <c r="G72" t="s">
        <v>5165</v>
      </c>
    </row>
    <row r="73" ht="11.25" customHeight="1">
      <c r="A73" t="s">
        <v>14</v>
      </c>
      <c r="B73" t="s">
        <v>5152</v>
      </c>
      <c r="C73" t="s">
        <v>5153</v>
      </c>
      <c r="D73" t="s">
        <v>5166</v>
      </c>
      <c r="E73" t="s">
        <v>5167</v>
      </c>
      <c r="F73" t="s">
        <v>5020</v>
      </c>
      <c r="G73" t="s">
        <v>5168</v>
      </c>
    </row>
    <row r="74" ht="11.25" customHeight="1">
      <c r="A74" t="s">
        <v>14</v>
      </c>
      <c r="B74" t="s">
        <v>5152</v>
      </c>
      <c r="C74" t="s">
        <v>5153</v>
      </c>
      <c r="D74" t="s">
        <v>5169</v>
      </c>
      <c r="E74" t="s">
        <v>5170</v>
      </c>
      <c r="F74" t="s">
        <v>5023</v>
      </c>
      <c r="G74" t="s">
        <v>5171</v>
      </c>
    </row>
    <row r="75" ht="11.25" customHeight="1">
      <c r="A75" t="s">
        <v>14</v>
      </c>
      <c r="B75" t="s">
        <v>5152</v>
      </c>
      <c r="C75" t="s">
        <v>5153</v>
      </c>
      <c r="D75" t="s">
        <v>5172</v>
      </c>
      <c r="E75" t="s">
        <v>5173</v>
      </c>
      <c r="F75" t="s">
        <v>5023</v>
      </c>
      <c r="G75" t="s">
        <v>5174</v>
      </c>
    </row>
    <row r="76" ht="11.25" customHeight="1">
      <c r="A76" t="s">
        <v>14</v>
      </c>
      <c r="B76" t="s">
        <v>5152</v>
      </c>
      <c r="C76" t="s">
        <v>5153</v>
      </c>
      <c r="D76" t="s">
        <v>5175</v>
      </c>
      <c r="E76" t="s">
        <v>5176</v>
      </c>
      <c r="F76" t="s">
        <v>5023</v>
      </c>
      <c r="G76" t="s">
        <v>5177</v>
      </c>
    </row>
    <row r="77" ht="11.25" customHeight="1">
      <c r="A77" t="s">
        <v>14</v>
      </c>
      <c r="B77" t="s">
        <v>5152</v>
      </c>
      <c r="C77" t="s">
        <v>5153</v>
      </c>
      <c r="D77" t="s">
        <v>5178</v>
      </c>
      <c r="E77" t="s">
        <v>5179</v>
      </c>
      <c r="F77" t="s">
        <v>5023</v>
      </c>
      <c r="G77" t="s">
        <v>5180</v>
      </c>
    </row>
    <row r="78" ht="11.25" customHeight="1">
      <c r="A78" t="s">
        <v>14</v>
      </c>
      <c r="B78" t="s">
        <v>5152</v>
      </c>
      <c r="C78" t="s">
        <v>5153</v>
      </c>
      <c r="D78" t="s">
        <v>5181</v>
      </c>
      <c r="E78" t="s">
        <v>5182</v>
      </c>
      <c r="F78" t="s">
        <v>5023</v>
      </c>
      <c r="G78" t="s">
        <v>5183</v>
      </c>
    </row>
    <row r="79" ht="11.25" customHeight="1">
      <c r="A79" t="s">
        <v>14</v>
      </c>
      <c r="B79" t="s">
        <v>5152</v>
      </c>
      <c r="C79" t="s">
        <v>5153</v>
      </c>
      <c r="D79" t="s">
        <v>5184</v>
      </c>
      <c r="E79" t="s">
        <v>5185</v>
      </c>
      <c r="F79" t="s">
        <v>5023</v>
      </c>
      <c r="G79" t="s">
        <v>5186</v>
      </c>
    </row>
    <row r="80" ht="11.25" customHeight="1">
      <c r="A80" t="s">
        <v>14</v>
      </c>
      <c r="B80" t="s">
        <v>5152</v>
      </c>
      <c r="C80" t="s">
        <v>5153</v>
      </c>
      <c r="D80" t="s">
        <v>5187</v>
      </c>
      <c r="E80" t="s">
        <v>5188</v>
      </c>
      <c r="F80" t="s">
        <v>5023</v>
      </c>
      <c r="G80" t="s">
        <v>5189</v>
      </c>
    </row>
    <row r="81" ht="11.25" customHeight="1">
      <c r="A81" t="s">
        <v>14</v>
      </c>
      <c r="B81" t="s">
        <v>5152</v>
      </c>
      <c r="C81" t="s">
        <v>5153</v>
      </c>
      <c r="D81" t="s">
        <v>5190</v>
      </c>
      <c r="E81" t="s">
        <v>5191</v>
      </c>
      <c r="F81" t="s">
        <v>5023</v>
      </c>
      <c r="G81" t="s">
        <v>5192</v>
      </c>
    </row>
    <row r="82" ht="11.25" customHeight="1">
      <c r="A82" t="s">
        <v>14</v>
      </c>
      <c r="B82" t="s">
        <v>5152</v>
      </c>
      <c r="C82" t="s">
        <v>5153</v>
      </c>
      <c r="D82" t="s">
        <v>5193</v>
      </c>
      <c r="E82" t="s">
        <v>5194</v>
      </c>
      <c r="F82" t="s">
        <v>5023</v>
      </c>
      <c r="G82" t="s">
        <v>5195</v>
      </c>
    </row>
    <row r="83" ht="11.25" customHeight="1">
      <c r="A83" t="s">
        <v>14</v>
      </c>
      <c r="B83" t="s">
        <v>5152</v>
      </c>
      <c r="C83" t="s">
        <v>5153</v>
      </c>
      <c r="D83" t="s">
        <v>5196</v>
      </c>
      <c r="E83" t="s">
        <v>5197</v>
      </c>
      <c r="F83" t="s">
        <v>5023</v>
      </c>
      <c r="G83" t="s">
        <v>5198</v>
      </c>
    </row>
    <row r="84" ht="11.25" customHeight="1">
      <c r="A84" t="s">
        <v>14</v>
      </c>
      <c r="B84" t="s">
        <v>5199</v>
      </c>
      <c r="C84" t="s">
        <v>5200</v>
      </c>
      <c r="D84" t="s">
        <v>5201</v>
      </c>
      <c r="E84" t="s">
        <v>5202</v>
      </c>
      <c r="F84" t="s">
        <v>5023</v>
      </c>
      <c r="G84" t="s">
        <v>5203</v>
      </c>
    </row>
    <row r="85" ht="11.25" customHeight="1">
      <c r="A85" t="s">
        <v>14</v>
      </c>
      <c r="B85" t="s">
        <v>5199</v>
      </c>
      <c r="C85" t="s">
        <v>5200</v>
      </c>
      <c r="D85" t="s">
        <v>5204</v>
      </c>
      <c r="E85" t="s">
        <v>5205</v>
      </c>
      <c r="F85" t="s">
        <v>5023</v>
      </c>
      <c r="G85" t="s">
        <v>5206</v>
      </c>
    </row>
    <row r="86" ht="11.25" customHeight="1">
      <c r="A86" t="s">
        <v>14</v>
      </c>
      <c r="B86" t="s">
        <v>5199</v>
      </c>
      <c r="C86" t="s">
        <v>5200</v>
      </c>
      <c r="D86" t="s">
        <v>5199</v>
      </c>
      <c r="E86" t="s">
        <v>5200</v>
      </c>
      <c r="F86" t="s">
        <v>5014</v>
      </c>
      <c r="G86" t="s">
        <v>5207</v>
      </c>
    </row>
    <row r="87" ht="11.25" customHeight="1">
      <c r="A87" t="s">
        <v>14</v>
      </c>
      <c r="B87" t="s">
        <v>5199</v>
      </c>
      <c r="C87" t="s">
        <v>5200</v>
      </c>
      <c r="D87" t="s">
        <v>5208</v>
      </c>
      <c r="E87" t="s">
        <v>5209</v>
      </c>
      <c r="F87" t="s">
        <v>5023</v>
      </c>
      <c r="G87" t="s">
        <v>5210</v>
      </c>
    </row>
    <row r="88" ht="11.25" customHeight="1">
      <c r="A88" t="s">
        <v>14</v>
      </c>
      <c r="B88" t="s">
        <v>5199</v>
      </c>
      <c r="C88" t="s">
        <v>5200</v>
      </c>
      <c r="D88" t="s">
        <v>5211</v>
      </c>
      <c r="E88" t="s">
        <v>5212</v>
      </c>
      <c r="F88" t="s">
        <v>5023</v>
      </c>
      <c r="G88" t="s">
        <v>5213</v>
      </c>
    </row>
    <row r="89" ht="11.25" customHeight="1">
      <c r="A89" t="s">
        <v>14</v>
      </c>
      <c r="B89" t="s">
        <v>5199</v>
      </c>
      <c r="C89" t="s">
        <v>5200</v>
      </c>
      <c r="D89" t="s">
        <v>5214</v>
      </c>
      <c r="E89" t="s">
        <v>5215</v>
      </c>
      <c r="F89" t="s">
        <v>5023</v>
      </c>
      <c r="G89" t="s">
        <v>5216</v>
      </c>
    </row>
    <row r="90" ht="11.25" customHeight="1">
      <c r="A90" t="s">
        <v>14</v>
      </c>
      <c r="B90" t="s">
        <v>5199</v>
      </c>
      <c r="C90" t="s">
        <v>5200</v>
      </c>
      <c r="D90" t="s">
        <v>5217</v>
      </c>
      <c r="E90" t="s">
        <v>5218</v>
      </c>
      <c r="F90" t="s">
        <v>5023</v>
      </c>
      <c r="G90" t="s">
        <v>5219</v>
      </c>
    </row>
    <row r="91" ht="11.25" customHeight="1">
      <c r="A91" t="s">
        <v>14</v>
      </c>
      <c r="B91" t="s">
        <v>5199</v>
      </c>
      <c r="C91" t="s">
        <v>5200</v>
      </c>
      <c r="D91" t="s">
        <v>5220</v>
      </c>
      <c r="E91" t="s">
        <v>5221</v>
      </c>
      <c r="F91" t="s">
        <v>5023</v>
      </c>
      <c r="G91" t="s">
        <v>5222</v>
      </c>
    </row>
    <row r="92" ht="11.25" customHeight="1">
      <c r="A92" t="s">
        <v>14</v>
      </c>
      <c r="B92" t="s">
        <v>5199</v>
      </c>
      <c r="C92" t="s">
        <v>5200</v>
      </c>
      <c r="D92" t="s">
        <v>5223</v>
      </c>
      <c r="E92" t="s">
        <v>5224</v>
      </c>
      <c r="F92" t="s">
        <v>5023</v>
      </c>
      <c r="G92" t="s">
        <v>5225</v>
      </c>
    </row>
    <row r="93" ht="11.25" customHeight="1">
      <c r="A93" t="s">
        <v>14</v>
      </c>
      <c r="B93" t="s">
        <v>5199</v>
      </c>
      <c r="C93" t="s">
        <v>5200</v>
      </c>
      <c r="D93" t="s">
        <v>5226</v>
      </c>
      <c r="E93" t="s">
        <v>5227</v>
      </c>
      <c r="F93" t="s">
        <v>5023</v>
      </c>
      <c r="G93" t="s">
        <v>5228</v>
      </c>
    </row>
    <row r="94" ht="11.25" customHeight="1">
      <c r="A94" t="s">
        <v>14</v>
      </c>
      <c r="B94" t="s">
        <v>5199</v>
      </c>
      <c r="C94" t="s">
        <v>5200</v>
      </c>
      <c r="D94" t="s">
        <v>5229</v>
      </c>
      <c r="E94" t="s">
        <v>5230</v>
      </c>
      <c r="F94" t="s">
        <v>5023</v>
      </c>
      <c r="G94" t="s">
        <v>5231</v>
      </c>
    </row>
    <row r="95" ht="11.25" customHeight="1">
      <c r="A95" t="s">
        <v>14</v>
      </c>
      <c r="B95" t="s">
        <v>5232</v>
      </c>
      <c r="C95" t="s">
        <v>5233</v>
      </c>
      <c r="D95" t="s">
        <v>5234</v>
      </c>
      <c r="E95" t="s">
        <v>5235</v>
      </c>
      <c r="F95" t="s">
        <v>5023</v>
      </c>
      <c r="G95" t="s">
        <v>5236</v>
      </c>
    </row>
    <row r="96" ht="11.25" customHeight="1">
      <c r="A96" t="s">
        <v>14</v>
      </c>
      <c r="B96" t="s">
        <v>5232</v>
      </c>
      <c r="C96" t="s">
        <v>5233</v>
      </c>
      <c r="D96" t="s">
        <v>5237</v>
      </c>
      <c r="E96" t="s">
        <v>5238</v>
      </c>
      <c r="F96" t="s">
        <v>5023</v>
      </c>
      <c r="G96" t="s">
        <v>5239</v>
      </c>
    </row>
    <row r="97" ht="11.25" customHeight="1">
      <c r="A97" t="s">
        <v>14</v>
      </c>
      <c r="B97" t="s">
        <v>5232</v>
      </c>
      <c r="C97" t="s">
        <v>5233</v>
      </c>
      <c r="D97" t="s">
        <v>5232</v>
      </c>
      <c r="E97" t="s">
        <v>5233</v>
      </c>
      <c r="F97" t="s">
        <v>5014</v>
      </c>
      <c r="G97" t="s">
        <v>5240</v>
      </c>
    </row>
    <row r="98" ht="11.25" customHeight="1">
      <c r="A98" t="s">
        <v>14</v>
      </c>
      <c r="B98" t="s">
        <v>5232</v>
      </c>
      <c r="C98" t="s">
        <v>5233</v>
      </c>
      <c r="D98" t="s">
        <v>5241</v>
      </c>
      <c r="E98" t="s">
        <v>5242</v>
      </c>
      <c r="F98" t="s">
        <v>5023</v>
      </c>
      <c r="G98" t="s">
        <v>5243</v>
      </c>
    </row>
    <row r="99" ht="11.25" customHeight="1">
      <c r="A99" t="s">
        <v>14</v>
      </c>
      <c r="B99" t="s">
        <v>5232</v>
      </c>
      <c r="C99" t="s">
        <v>5233</v>
      </c>
      <c r="D99" t="s">
        <v>5244</v>
      </c>
      <c r="E99" t="s">
        <v>5245</v>
      </c>
      <c r="F99" t="s">
        <v>5017</v>
      </c>
      <c r="G99" t="s">
        <v>5246</v>
      </c>
    </row>
    <row r="100" ht="11.25" customHeight="1">
      <c r="A100" t="s">
        <v>14</v>
      </c>
      <c r="B100" t="s">
        <v>5232</v>
      </c>
      <c r="C100" t="s">
        <v>5233</v>
      </c>
      <c r="D100" t="s">
        <v>5247</v>
      </c>
      <c r="E100" t="s">
        <v>5248</v>
      </c>
      <c r="F100" t="s">
        <v>5023</v>
      </c>
      <c r="G100" t="s">
        <v>5249</v>
      </c>
    </row>
    <row r="101" ht="11.25" customHeight="1">
      <c r="A101" t="s">
        <v>14</v>
      </c>
      <c r="B101" t="s">
        <v>5232</v>
      </c>
      <c r="C101" t="s">
        <v>5233</v>
      </c>
      <c r="D101" t="s">
        <v>5250</v>
      </c>
      <c r="E101" t="s">
        <v>5251</v>
      </c>
      <c r="F101" t="s">
        <v>5023</v>
      </c>
      <c r="G101" t="s">
        <v>5252</v>
      </c>
    </row>
    <row r="102" ht="11.25" customHeight="1">
      <c r="A102" t="s">
        <v>14</v>
      </c>
      <c r="B102" t="s">
        <v>5232</v>
      </c>
      <c r="C102" t="s">
        <v>5233</v>
      </c>
      <c r="D102" t="s">
        <v>5253</v>
      </c>
      <c r="E102" t="s">
        <v>5254</v>
      </c>
      <c r="F102" t="s">
        <v>5023</v>
      </c>
      <c r="G102" t="s">
        <v>5255</v>
      </c>
    </row>
    <row r="103" ht="11.25" customHeight="1">
      <c r="A103" t="s">
        <v>14</v>
      </c>
      <c r="B103" t="s">
        <v>5232</v>
      </c>
      <c r="C103" t="s">
        <v>5233</v>
      </c>
      <c r="D103" t="s">
        <v>5256</v>
      </c>
      <c r="E103" t="s">
        <v>5257</v>
      </c>
      <c r="F103" t="s">
        <v>5023</v>
      </c>
      <c r="G103" t="s">
        <v>5258</v>
      </c>
    </row>
    <row r="104" ht="11.25" customHeight="1">
      <c r="A104" t="s">
        <v>14</v>
      </c>
      <c r="B104" t="s">
        <v>5232</v>
      </c>
      <c r="C104" t="s">
        <v>5233</v>
      </c>
      <c r="D104" t="s">
        <v>5259</v>
      </c>
      <c r="E104" t="s">
        <v>5260</v>
      </c>
      <c r="F104" t="s">
        <v>5023</v>
      </c>
      <c r="G104" t="s">
        <v>5261</v>
      </c>
    </row>
    <row r="105" ht="11.25" customHeight="1">
      <c r="A105" t="s">
        <v>14</v>
      </c>
      <c r="B105" t="s">
        <v>5232</v>
      </c>
      <c r="C105" t="s">
        <v>5233</v>
      </c>
      <c r="D105" t="s">
        <v>5262</v>
      </c>
      <c r="E105" t="s">
        <v>5263</v>
      </c>
      <c r="F105" t="s">
        <v>5023</v>
      </c>
      <c r="G105" t="s">
        <v>5264</v>
      </c>
    </row>
    <row r="106" ht="11.25" customHeight="1">
      <c r="A106" t="s">
        <v>14</v>
      </c>
      <c r="B106" t="s">
        <v>5232</v>
      </c>
      <c r="C106" t="s">
        <v>5233</v>
      </c>
      <c r="D106" t="s">
        <v>5265</v>
      </c>
      <c r="E106" t="s">
        <v>5266</v>
      </c>
      <c r="F106" t="s">
        <v>5023</v>
      </c>
      <c r="G106" t="s">
        <v>5267</v>
      </c>
    </row>
    <row r="107" ht="11.25" customHeight="1">
      <c r="A107" t="s">
        <v>14</v>
      </c>
      <c r="B107" t="s">
        <v>5268</v>
      </c>
      <c r="C107" t="s">
        <v>5269</v>
      </c>
      <c r="D107" t="s">
        <v>5270</v>
      </c>
      <c r="E107" t="s">
        <v>5271</v>
      </c>
      <c r="F107" t="s">
        <v>5023</v>
      </c>
      <c r="G107" t="s">
        <v>5272</v>
      </c>
    </row>
    <row r="108" ht="11.25" customHeight="1">
      <c r="A108" t="s">
        <v>14</v>
      </c>
      <c r="B108" t="s">
        <v>5268</v>
      </c>
      <c r="C108" t="s">
        <v>5269</v>
      </c>
      <c r="D108" t="s">
        <v>5268</v>
      </c>
      <c r="E108" t="s">
        <v>5269</v>
      </c>
      <c r="F108" t="s">
        <v>5014</v>
      </c>
      <c r="G108" t="s">
        <v>5273</v>
      </c>
    </row>
    <row r="109" ht="11.25" customHeight="1">
      <c r="A109" t="s">
        <v>14</v>
      </c>
      <c r="B109" t="s">
        <v>5268</v>
      </c>
      <c r="C109" t="s">
        <v>5269</v>
      </c>
      <c r="D109" t="s">
        <v>5274</v>
      </c>
      <c r="E109" t="s">
        <v>5275</v>
      </c>
      <c r="F109" t="s">
        <v>5023</v>
      </c>
      <c r="G109" t="s">
        <v>5276</v>
      </c>
    </row>
    <row r="110" ht="11.25" customHeight="1">
      <c r="A110" t="s">
        <v>14</v>
      </c>
      <c r="B110" t="s">
        <v>5268</v>
      </c>
      <c r="C110" t="s">
        <v>5269</v>
      </c>
      <c r="D110" t="s">
        <v>5277</v>
      </c>
      <c r="E110" t="s">
        <v>5278</v>
      </c>
      <c r="F110" t="s">
        <v>5023</v>
      </c>
      <c r="G110" t="s">
        <v>5279</v>
      </c>
    </row>
    <row r="111" ht="11.25" customHeight="1">
      <c r="A111" t="s">
        <v>14</v>
      </c>
      <c r="B111" t="s">
        <v>5268</v>
      </c>
      <c r="C111" t="s">
        <v>5269</v>
      </c>
      <c r="D111" t="s">
        <v>5280</v>
      </c>
      <c r="E111" t="s">
        <v>5281</v>
      </c>
      <c r="F111" t="s">
        <v>5017</v>
      </c>
      <c r="G111" t="s">
        <v>5282</v>
      </c>
    </row>
    <row r="112" ht="11.25" customHeight="1">
      <c r="A112" t="s">
        <v>14</v>
      </c>
      <c r="B112" t="s">
        <v>5268</v>
      </c>
      <c r="C112" t="s">
        <v>5269</v>
      </c>
      <c r="D112" t="s">
        <v>5283</v>
      </c>
      <c r="E112" t="s">
        <v>5284</v>
      </c>
      <c r="F112" t="s">
        <v>5023</v>
      </c>
      <c r="G112" t="s">
        <v>5285</v>
      </c>
    </row>
    <row r="113" ht="11.25" customHeight="1">
      <c r="A113" t="s">
        <v>14</v>
      </c>
      <c r="B113" t="s">
        <v>5268</v>
      </c>
      <c r="C113" t="s">
        <v>5269</v>
      </c>
      <c r="D113" t="s">
        <v>5286</v>
      </c>
      <c r="E113" t="s">
        <v>5287</v>
      </c>
      <c r="F113" t="s">
        <v>5023</v>
      </c>
      <c r="G113" t="s">
        <v>5288</v>
      </c>
    </row>
    <row r="114" ht="11.25" customHeight="1">
      <c r="A114" t="s">
        <v>14</v>
      </c>
      <c r="B114" t="s">
        <v>5268</v>
      </c>
      <c r="C114" t="s">
        <v>5269</v>
      </c>
      <c r="D114" t="s">
        <v>5289</v>
      </c>
      <c r="E114" t="s">
        <v>5290</v>
      </c>
      <c r="F114" t="s">
        <v>5023</v>
      </c>
      <c r="G114" t="s">
        <v>5291</v>
      </c>
    </row>
    <row r="115" ht="11.25" customHeight="1">
      <c r="A115" t="s">
        <v>14</v>
      </c>
      <c r="B115" t="s">
        <v>5268</v>
      </c>
      <c r="C115" t="s">
        <v>5269</v>
      </c>
      <c r="D115" t="s">
        <v>5292</v>
      </c>
      <c r="E115" t="s">
        <v>5293</v>
      </c>
      <c r="F115" t="s">
        <v>5023</v>
      </c>
      <c r="G115" t="s">
        <v>5294</v>
      </c>
    </row>
    <row r="116" ht="11.25" customHeight="1">
      <c r="A116" t="s">
        <v>14</v>
      </c>
      <c r="B116" t="s">
        <v>5268</v>
      </c>
      <c r="C116" t="s">
        <v>5269</v>
      </c>
      <c r="D116" t="s">
        <v>5295</v>
      </c>
      <c r="E116" t="s">
        <v>5296</v>
      </c>
      <c r="F116" t="s">
        <v>5023</v>
      </c>
      <c r="G116" t="s">
        <v>5297</v>
      </c>
    </row>
    <row r="117" ht="11.25" customHeight="1">
      <c r="A117" t="s">
        <v>14</v>
      </c>
      <c r="B117" t="s">
        <v>5298</v>
      </c>
      <c r="C117" t="s">
        <v>5299</v>
      </c>
      <c r="D117" t="s">
        <v>5300</v>
      </c>
      <c r="E117" t="s">
        <v>5301</v>
      </c>
      <c r="F117" t="s">
        <v>5023</v>
      </c>
      <c r="G117" t="s">
        <v>5302</v>
      </c>
    </row>
    <row r="118" ht="11.25" customHeight="1">
      <c r="A118" t="s">
        <v>14</v>
      </c>
      <c r="B118" t="s">
        <v>5298</v>
      </c>
      <c r="C118" t="s">
        <v>5299</v>
      </c>
      <c r="D118" t="s">
        <v>5303</v>
      </c>
      <c r="E118" t="s">
        <v>5304</v>
      </c>
      <c r="F118" t="s">
        <v>5023</v>
      </c>
      <c r="G118" t="s">
        <v>5305</v>
      </c>
    </row>
    <row r="119" ht="11.25" customHeight="1">
      <c r="A119" t="s">
        <v>14</v>
      </c>
      <c r="B119" t="s">
        <v>5298</v>
      </c>
      <c r="C119" t="s">
        <v>5299</v>
      </c>
      <c r="D119" t="s">
        <v>5306</v>
      </c>
      <c r="E119" t="s">
        <v>5307</v>
      </c>
      <c r="F119" t="s">
        <v>5023</v>
      </c>
      <c r="G119" t="s">
        <v>5308</v>
      </c>
    </row>
    <row r="120" ht="11.25" customHeight="1">
      <c r="A120" t="s">
        <v>14</v>
      </c>
      <c r="B120" t="s">
        <v>5298</v>
      </c>
      <c r="C120" t="s">
        <v>5299</v>
      </c>
      <c r="D120" t="s">
        <v>5309</v>
      </c>
      <c r="E120" t="s">
        <v>5310</v>
      </c>
      <c r="F120" t="s">
        <v>5023</v>
      </c>
      <c r="G120" t="s">
        <v>5311</v>
      </c>
    </row>
    <row r="121" ht="11.25" customHeight="1">
      <c r="A121" t="s">
        <v>14</v>
      </c>
      <c r="B121" t="s">
        <v>5298</v>
      </c>
      <c r="C121" t="s">
        <v>5299</v>
      </c>
      <c r="D121" t="s">
        <v>5298</v>
      </c>
      <c r="E121" t="s">
        <v>5299</v>
      </c>
      <c r="F121" t="s">
        <v>5014</v>
      </c>
      <c r="G121" t="s">
        <v>5312</v>
      </c>
    </row>
    <row r="122" ht="11.25" customHeight="1">
      <c r="A122" t="s">
        <v>14</v>
      </c>
      <c r="B122" t="s">
        <v>5298</v>
      </c>
      <c r="C122" t="s">
        <v>5299</v>
      </c>
      <c r="D122" t="s">
        <v>5313</v>
      </c>
      <c r="E122" t="s">
        <v>5314</v>
      </c>
      <c r="F122" t="s">
        <v>5023</v>
      </c>
      <c r="G122" t="s">
        <v>5315</v>
      </c>
    </row>
    <row r="123" ht="11.25" customHeight="1">
      <c r="A123" t="s">
        <v>14</v>
      </c>
      <c r="B123" t="s">
        <v>5298</v>
      </c>
      <c r="C123" t="s">
        <v>5299</v>
      </c>
      <c r="D123" t="s">
        <v>5316</v>
      </c>
      <c r="E123" t="s">
        <v>5317</v>
      </c>
      <c r="F123" t="s">
        <v>5023</v>
      </c>
      <c r="G123" t="s">
        <v>5318</v>
      </c>
    </row>
    <row r="124" ht="11.25" customHeight="1">
      <c r="A124" t="s">
        <v>14</v>
      </c>
      <c r="B124" t="s">
        <v>5298</v>
      </c>
      <c r="C124" t="s">
        <v>5299</v>
      </c>
      <c r="D124" t="s">
        <v>5319</v>
      </c>
      <c r="E124" t="s">
        <v>5320</v>
      </c>
      <c r="F124" t="s">
        <v>5023</v>
      </c>
      <c r="G124" t="s">
        <v>5321</v>
      </c>
    </row>
    <row r="125" ht="11.25" customHeight="1">
      <c r="A125" t="s">
        <v>14</v>
      </c>
      <c r="B125" t="s">
        <v>5298</v>
      </c>
      <c r="C125" t="s">
        <v>5299</v>
      </c>
      <c r="D125" t="s">
        <v>5322</v>
      </c>
      <c r="E125" t="s">
        <v>5323</v>
      </c>
      <c r="F125" t="s">
        <v>5023</v>
      </c>
      <c r="G125" t="s">
        <v>5324</v>
      </c>
    </row>
    <row r="126" ht="11.25" customHeight="1">
      <c r="A126" t="s">
        <v>14</v>
      </c>
      <c r="B126" t="s">
        <v>5325</v>
      </c>
      <c r="C126" t="s">
        <v>5326</v>
      </c>
      <c r="D126" t="s">
        <v>5327</v>
      </c>
      <c r="E126" t="s">
        <v>5328</v>
      </c>
      <c r="F126" t="s">
        <v>5023</v>
      </c>
      <c r="G126" t="s">
        <v>5329</v>
      </c>
    </row>
    <row r="127" ht="11.25" customHeight="1">
      <c r="A127" t="s">
        <v>14</v>
      </c>
      <c r="B127" t="s">
        <v>5325</v>
      </c>
      <c r="C127" t="s">
        <v>5326</v>
      </c>
      <c r="D127" t="s">
        <v>5325</v>
      </c>
      <c r="E127" t="s">
        <v>5326</v>
      </c>
      <c r="F127" t="s">
        <v>5014</v>
      </c>
      <c r="G127" t="s">
        <v>5330</v>
      </c>
    </row>
    <row r="128" ht="11.25" customHeight="1">
      <c r="A128" t="s">
        <v>14</v>
      </c>
      <c r="B128" t="s">
        <v>5325</v>
      </c>
      <c r="C128" t="s">
        <v>5326</v>
      </c>
      <c r="D128" t="s">
        <v>5331</v>
      </c>
      <c r="E128" t="s">
        <v>5332</v>
      </c>
      <c r="F128" t="s">
        <v>5023</v>
      </c>
      <c r="G128" t="s">
        <v>5333</v>
      </c>
    </row>
    <row r="129" ht="11.25" customHeight="1">
      <c r="A129" t="s">
        <v>14</v>
      </c>
      <c r="B129" t="s">
        <v>5325</v>
      </c>
      <c r="C129" t="s">
        <v>5326</v>
      </c>
      <c r="D129" t="s">
        <v>5334</v>
      </c>
      <c r="E129" t="s">
        <v>5335</v>
      </c>
      <c r="F129" t="s">
        <v>5023</v>
      </c>
      <c r="G129" t="s">
        <v>5336</v>
      </c>
    </row>
    <row r="130" ht="11.25" customHeight="1">
      <c r="A130" t="s">
        <v>14</v>
      </c>
      <c r="B130" t="s">
        <v>5325</v>
      </c>
      <c r="C130" t="s">
        <v>5326</v>
      </c>
      <c r="D130" t="s">
        <v>5337</v>
      </c>
      <c r="E130" t="s">
        <v>5338</v>
      </c>
      <c r="F130" t="s">
        <v>5023</v>
      </c>
      <c r="G130" t="s">
        <v>5339</v>
      </c>
    </row>
    <row r="131" ht="11.25" customHeight="1">
      <c r="A131" t="s">
        <v>14</v>
      </c>
      <c r="B131" t="s">
        <v>5325</v>
      </c>
      <c r="C131" t="s">
        <v>5326</v>
      </c>
      <c r="D131" t="s">
        <v>5340</v>
      </c>
      <c r="E131" t="s">
        <v>5341</v>
      </c>
      <c r="F131" t="s">
        <v>5023</v>
      </c>
      <c r="G131" t="s">
        <v>5342</v>
      </c>
    </row>
    <row r="132" ht="11.25" customHeight="1">
      <c r="A132" t="s">
        <v>14</v>
      </c>
      <c r="B132" t="s">
        <v>5325</v>
      </c>
      <c r="C132" t="s">
        <v>5326</v>
      </c>
      <c r="D132" t="s">
        <v>5343</v>
      </c>
      <c r="E132" t="s">
        <v>5344</v>
      </c>
      <c r="F132" t="s">
        <v>5023</v>
      </c>
      <c r="G132" t="s">
        <v>5345</v>
      </c>
    </row>
    <row r="133" ht="11.25" customHeight="1">
      <c r="A133" t="s">
        <v>14</v>
      </c>
      <c r="B133" t="s">
        <v>5325</v>
      </c>
      <c r="C133" t="s">
        <v>5326</v>
      </c>
      <c r="D133" t="s">
        <v>5346</v>
      </c>
      <c r="E133" t="s">
        <v>5347</v>
      </c>
      <c r="F133" t="s">
        <v>5023</v>
      </c>
      <c r="G133" t="s">
        <v>5348</v>
      </c>
    </row>
    <row r="134" ht="11.25" customHeight="1">
      <c r="A134" t="s">
        <v>14</v>
      </c>
      <c r="B134" t="s">
        <v>5325</v>
      </c>
      <c r="C134" t="s">
        <v>5326</v>
      </c>
      <c r="D134" t="s">
        <v>5349</v>
      </c>
      <c r="E134" t="s">
        <v>5350</v>
      </c>
      <c r="F134" t="s">
        <v>5023</v>
      </c>
      <c r="G134" t="s">
        <v>5351</v>
      </c>
    </row>
    <row r="135" ht="11.25" customHeight="1">
      <c r="A135" t="s">
        <v>14</v>
      </c>
      <c r="B135" t="s">
        <v>5325</v>
      </c>
      <c r="C135" t="s">
        <v>5326</v>
      </c>
      <c r="D135" t="s">
        <v>5352</v>
      </c>
      <c r="E135" t="s">
        <v>5353</v>
      </c>
      <c r="F135" t="s">
        <v>5023</v>
      </c>
      <c r="G135" t="s">
        <v>5354</v>
      </c>
    </row>
    <row r="136" ht="11.25" customHeight="1">
      <c r="A136" t="s">
        <v>14</v>
      </c>
      <c r="B136" t="s">
        <v>5355</v>
      </c>
      <c r="C136" t="s">
        <v>5356</v>
      </c>
      <c r="D136" t="s">
        <v>5357</v>
      </c>
      <c r="E136" t="s">
        <v>5358</v>
      </c>
      <c r="F136" t="s">
        <v>5023</v>
      </c>
      <c r="G136" t="s">
        <v>5359</v>
      </c>
    </row>
    <row r="137" ht="11.25" customHeight="1">
      <c r="A137" t="s">
        <v>14</v>
      </c>
      <c r="B137" t="s">
        <v>5355</v>
      </c>
      <c r="C137" t="s">
        <v>5356</v>
      </c>
      <c r="D137" t="s">
        <v>5360</v>
      </c>
      <c r="E137" t="s">
        <v>5361</v>
      </c>
      <c r="F137" t="s">
        <v>5023</v>
      </c>
      <c r="G137" t="s">
        <v>5362</v>
      </c>
    </row>
    <row r="138" ht="11.25" customHeight="1">
      <c r="A138" t="s">
        <v>14</v>
      </c>
      <c r="B138" t="s">
        <v>5355</v>
      </c>
      <c r="C138" t="s">
        <v>5356</v>
      </c>
      <c r="D138" t="s">
        <v>5363</v>
      </c>
      <c r="E138" t="s">
        <v>5364</v>
      </c>
      <c r="F138" t="s">
        <v>5023</v>
      </c>
      <c r="G138" t="s">
        <v>5365</v>
      </c>
    </row>
    <row r="139" ht="11.25" customHeight="1">
      <c r="A139" t="s">
        <v>14</v>
      </c>
      <c r="B139" t="s">
        <v>5355</v>
      </c>
      <c r="C139" t="s">
        <v>5356</v>
      </c>
      <c r="D139" t="s">
        <v>5366</v>
      </c>
      <c r="E139" t="s">
        <v>5367</v>
      </c>
      <c r="F139" t="s">
        <v>5023</v>
      </c>
      <c r="G139" t="s">
        <v>5368</v>
      </c>
    </row>
    <row r="140" ht="11.25" customHeight="1">
      <c r="A140" t="s">
        <v>14</v>
      </c>
      <c r="B140" t="s">
        <v>5355</v>
      </c>
      <c r="C140" t="s">
        <v>5356</v>
      </c>
      <c r="D140" t="s">
        <v>5355</v>
      </c>
      <c r="E140" t="s">
        <v>5356</v>
      </c>
      <c r="F140" t="s">
        <v>5014</v>
      </c>
      <c r="G140" t="s">
        <v>5369</v>
      </c>
    </row>
    <row r="141" ht="11.25" customHeight="1">
      <c r="A141" t="s">
        <v>14</v>
      </c>
      <c r="B141" t="s">
        <v>5355</v>
      </c>
      <c r="C141" t="s">
        <v>5356</v>
      </c>
      <c r="D141" t="s">
        <v>5370</v>
      </c>
      <c r="E141" t="s">
        <v>5371</v>
      </c>
      <c r="F141" t="s">
        <v>5017</v>
      </c>
      <c r="G141" t="s">
        <v>5372</v>
      </c>
    </row>
    <row r="142" ht="11.25" customHeight="1">
      <c r="A142" t="s">
        <v>14</v>
      </c>
      <c r="B142" t="s">
        <v>5355</v>
      </c>
      <c r="C142" t="s">
        <v>5356</v>
      </c>
      <c r="D142" t="s">
        <v>5373</v>
      </c>
      <c r="E142" t="s">
        <v>5374</v>
      </c>
      <c r="F142" t="s">
        <v>5023</v>
      </c>
      <c r="G142" t="s">
        <v>5375</v>
      </c>
    </row>
    <row r="143" ht="11.25" customHeight="1">
      <c r="A143" t="s">
        <v>14</v>
      </c>
      <c r="B143" t="s">
        <v>5355</v>
      </c>
      <c r="C143" t="s">
        <v>5356</v>
      </c>
      <c r="D143" t="s">
        <v>5376</v>
      </c>
      <c r="E143" t="s">
        <v>5377</v>
      </c>
      <c r="F143" t="s">
        <v>5023</v>
      </c>
      <c r="G143" t="s">
        <v>5378</v>
      </c>
    </row>
    <row r="144" ht="11.25" customHeight="1">
      <c r="A144" t="s">
        <v>14</v>
      </c>
      <c r="B144" t="s">
        <v>5355</v>
      </c>
      <c r="C144" t="s">
        <v>5356</v>
      </c>
      <c r="D144" t="s">
        <v>5379</v>
      </c>
      <c r="E144" t="s">
        <v>5380</v>
      </c>
      <c r="F144" t="s">
        <v>5023</v>
      </c>
      <c r="G144" t="s">
        <v>5381</v>
      </c>
    </row>
    <row r="145" ht="11.25" customHeight="1">
      <c r="A145" t="s">
        <v>14</v>
      </c>
      <c r="B145" t="s">
        <v>5355</v>
      </c>
      <c r="C145" t="s">
        <v>5356</v>
      </c>
      <c r="D145" t="s">
        <v>5382</v>
      </c>
      <c r="E145" t="s">
        <v>5383</v>
      </c>
      <c r="F145" t="s">
        <v>5023</v>
      </c>
      <c r="G145" t="s">
        <v>5384</v>
      </c>
    </row>
    <row r="146" ht="11.25" customHeight="1">
      <c r="A146" t="s">
        <v>14</v>
      </c>
      <c r="B146" t="s">
        <v>5355</v>
      </c>
      <c r="C146" t="s">
        <v>5356</v>
      </c>
      <c r="D146" t="s">
        <v>5385</v>
      </c>
      <c r="E146" t="s">
        <v>5386</v>
      </c>
      <c r="F146" t="s">
        <v>5023</v>
      </c>
      <c r="G146" t="s">
        <v>5387</v>
      </c>
    </row>
    <row r="147" ht="11.25" customHeight="1">
      <c r="A147" t="s">
        <v>14</v>
      </c>
      <c r="B147" t="s">
        <v>5388</v>
      </c>
      <c r="C147" t="s">
        <v>5389</v>
      </c>
      <c r="D147" t="s">
        <v>5390</v>
      </c>
      <c r="E147" t="s">
        <v>5391</v>
      </c>
      <c r="F147" t="s">
        <v>5023</v>
      </c>
      <c r="G147" t="s">
        <v>5392</v>
      </c>
    </row>
    <row r="148" ht="11.25" customHeight="1">
      <c r="A148" t="s">
        <v>14</v>
      </c>
      <c r="B148" t="s">
        <v>5388</v>
      </c>
      <c r="C148" t="s">
        <v>5389</v>
      </c>
      <c r="D148" t="s">
        <v>5388</v>
      </c>
      <c r="E148" t="s">
        <v>5389</v>
      </c>
      <c r="F148" t="s">
        <v>5014</v>
      </c>
      <c r="G148" t="s">
        <v>5393</v>
      </c>
    </row>
    <row r="149" ht="11.25" customHeight="1">
      <c r="A149" t="s">
        <v>14</v>
      </c>
      <c r="B149" t="s">
        <v>5388</v>
      </c>
      <c r="C149" t="s">
        <v>5389</v>
      </c>
      <c r="D149" t="s">
        <v>5394</v>
      </c>
      <c r="E149" t="s">
        <v>5395</v>
      </c>
      <c r="F149" t="s">
        <v>5023</v>
      </c>
      <c r="G149" t="s">
        <v>5396</v>
      </c>
    </row>
    <row r="150" ht="11.25" customHeight="1">
      <c r="A150" t="s">
        <v>14</v>
      </c>
      <c r="B150" t="s">
        <v>5388</v>
      </c>
      <c r="C150" t="s">
        <v>5389</v>
      </c>
      <c r="D150" t="s">
        <v>5397</v>
      </c>
      <c r="E150" t="s">
        <v>5398</v>
      </c>
      <c r="F150" t="s">
        <v>5023</v>
      </c>
      <c r="G150" t="s">
        <v>5399</v>
      </c>
    </row>
    <row r="151" ht="11.25" customHeight="1">
      <c r="A151" t="s">
        <v>14</v>
      </c>
      <c r="B151" t="s">
        <v>5388</v>
      </c>
      <c r="C151" t="s">
        <v>5389</v>
      </c>
      <c r="D151" t="s">
        <v>5400</v>
      </c>
      <c r="E151" t="s">
        <v>5401</v>
      </c>
      <c r="F151" t="s">
        <v>5023</v>
      </c>
      <c r="G151" t="s">
        <v>5402</v>
      </c>
    </row>
    <row r="152" ht="11.25" customHeight="1">
      <c r="A152" t="s">
        <v>14</v>
      </c>
      <c r="B152" t="s">
        <v>5388</v>
      </c>
      <c r="C152" t="s">
        <v>5389</v>
      </c>
      <c r="D152" t="s">
        <v>5403</v>
      </c>
      <c r="E152" t="s">
        <v>5404</v>
      </c>
      <c r="F152" t="s">
        <v>5023</v>
      </c>
      <c r="G152" t="s">
        <v>5405</v>
      </c>
    </row>
    <row r="153" ht="11.25" customHeight="1">
      <c r="A153" t="s">
        <v>14</v>
      </c>
      <c r="B153" t="s">
        <v>5388</v>
      </c>
      <c r="C153" t="s">
        <v>5389</v>
      </c>
      <c r="D153" t="s">
        <v>5406</v>
      </c>
      <c r="E153" t="s">
        <v>5407</v>
      </c>
      <c r="F153" t="s">
        <v>5023</v>
      </c>
      <c r="G153" t="s">
        <v>5408</v>
      </c>
    </row>
    <row r="154" ht="11.25" customHeight="1">
      <c r="A154" t="s">
        <v>14</v>
      </c>
      <c r="B154" t="s">
        <v>5388</v>
      </c>
      <c r="C154" t="s">
        <v>5389</v>
      </c>
      <c r="D154" t="s">
        <v>5409</v>
      </c>
      <c r="E154" t="s">
        <v>5410</v>
      </c>
      <c r="F154" t="s">
        <v>5023</v>
      </c>
      <c r="G154" t="s">
        <v>5411</v>
      </c>
    </row>
    <row r="155" ht="11.25" customHeight="1">
      <c r="A155" t="s">
        <v>14</v>
      </c>
      <c r="B155" t="s">
        <v>5388</v>
      </c>
      <c r="C155" t="s">
        <v>5389</v>
      </c>
      <c r="D155" t="s">
        <v>5412</v>
      </c>
      <c r="E155" t="s">
        <v>5413</v>
      </c>
      <c r="F155" t="s">
        <v>5023</v>
      </c>
      <c r="G155" t="s">
        <v>5414</v>
      </c>
    </row>
    <row r="156" ht="11.25" customHeight="1">
      <c r="A156" t="s">
        <v>14</v>
      </c>
      <c r="B156" t="s">
        <v>5388</v>
      </c>
      <c r="C156" t="s">
        <v>5389</v>
      </c>
      <c r="D156" t="s">
        <v>5415</v>
      </c>
      <c r="E156" t="s">
        <v>5416</v>
      </c>
      <c r="F156" t="s">
        <v>5023</v>
      </c>
      <c r="G156" t="s">
        <v>5417</v>
      </c>
    </row>
    <row r="157" ht="11.25" customHeight="1">
      <c r="A157" t="s">
        <v>14</v>
      </c>
      <c r="B157" t="s">
        <v>5388</v>
      </c>
      <c r="C157" t="s">
        <v>5389</v>
      </c>
      <c r="D157" t="s">
        <v>5418</v>
      </c>
      <c r="E157" t="s">
        <v>5419</v>
      </c>
      <c r="F157" t="s">
        <v>5023</v>
      </c>
      <c r="G157" t="s">
        <v>5420</v>
      </c>
    </row>
    <row r="158" ht="11.25" customHeight="1">
      <c r="A158" t="s">
        <v>14</v>
      </c>
      <c r="B158" t="s">
        <v>5421</v>
      </c>
      <c r="C158" t="s">
        <v>5422</v>
      </c>
      <c r="D158" t="s">
        <v>5421</v>
      </c>
      <c r="E158" t="s">
        <v>5422</v>
      </c>
      <c r="F158" t="s">
        <v>5014</v>
      </c>
      <c r="G158" t="s">
        <v>5423</v>
      </c>
    </row>
    <row r="159" ht="11.25" customHeight="1">
      <c r="A159" t="s">
        <v>14</v>
      </c>
      <c r="B159" t="s">
        <v>5421</v>
      </c>
      <c r="C159" t="s">
        <v>5422</v>
      </c>
      <c r="D159" t="s">
        <v>5424</v>
      </c>
      <c r="E159" t="s">
        <v>5425</v>
      </c>
      <c r="F159" t="s">
        <v>5023</v>
      </c>
      <c r="G159" t="s">
        <v>5426</v>
      </c>
    </row>
    <row r="160" ht="11.25" customHeight="1">
      <c r="A160" t="s">
        <v>14</v>
      </c>
      <c r="B160" t="s">
        <v>5421</v>
      </c>
      <c r="C160" t="s">
        <v>5422</v>
      </c>
      <c r="D160" t="s">
        <v>5427</v>
      </c>
      <c r="E160" t="s">
        <v>5428</v>
      </c>
      <c r="F160" t="s">
        <v>5023</v>
      </c>
      <c r="G160" t="s">
        <v>5429</v>
      </c>
    </row>
    <row r="161" ht="11.25" customHeight="1">
      <c r="A161" t="s">
        <v>14</v>
      </c>
      <c r="B161" t="s">
        <v>5421</v>
      </c>
      <c r="C161" t="s">
        <v>5422</v>
      </c>
      <c r="D161" t="s">
        <v>5430</v>
      </c>
      <c r="E161" t="s">
        <v>5431</v>
      </c>
      <c r="F161" t="s">
        <v>5023</v>
      </c>
      <c r="G161" t="s">
        <v>5432</v>
      </c>
    </row>
    <row r="162" ht="11.25" customHeight="1">
      <c r="A162" t="s">
        <v>14</v>
      </c>
      <c r="B162" t="s">
        <v>5421</v>
      </c>
      <c r="C162" t="s">
        <v>5422</v>
      </c>
      <c r="D162" t="s">
        <v>5433</v>
      </c>
      <c r="E162" t="s">
        <v>5434</v>
      </c>
      <c r="F162" t="s">
        <v>5023</v>
      </c>
      <c r="G162" t="s">
        <v>5435</v>
      </c>
    </row>
    <row r="163" ht="11.25" customHeight="1">
      <c r="A163" t="s">
        <v>14</v>
      </c>
      <c r="B163" t="s">
        <v>5421</v>
      </c>
      <c r="C163" t="s">
        <v>5422</v>
      </c>
      <c r="D163" t="s">
        <v>5400</v>
      </c>
      <c r="E163" t="s">
        <v>5436</v>
      </c>
      <c r="F163" t="s">
        <v>5023</v>
      </c>
      <c r="G163" t="s">
        <v>5437</v>
      </c>
    </row>
    <row r="164" ht="11.25" customHeight="1">
      <c r="A164" t="s">
        <v>14</v>
      </c>
      <c r="B164" t="s">
        <v>5421</v>
      </c>
      <c r="C164" t="s">
        <v>5422</v>
      </c>
      <c r="D164" t="s">
        <v>5438</v>
      </c>
      <c r="E164" t="s">
        <v>5439</v>
      </c>
      <c r="F164" t="s">
        <v>5023</v>
      </c>
      <c r="G164" t="s">
        <v>5440</v>
      </c>
    </row>
    <row r="165" ht="11.25" customHeight="1">
      <c r="A165" t="s">
        <v>14</v>
      </c>
      <c r="B165" t="s">
        <v>5441</v>
      </c>
      <c r="C165" t="s">
        <v>5442</v>
      </c>
      <c r="D165" t="s">
        <v>5443</v>
      </c>
      <c r="E165" t="s">
        <v>5444</v>
      </c>
      <c r="F165" t="s">
        <v>5023</v>
      </c>
      <c r="G165" t="s">
        <v>5445</v>
      </c>
    </row>
    <row r="166" ht="11.25" customHeight="1">
      <c r="A166" t="s">
        <v>14</v>
      </c>
      <c r="B166" t="s">
        <v>5441</v>
      </c>
      <c r="C166" t="s">
        <v>5442</v>
      </c>
      <c r="D166" t="s">
        <v>5446</v>
      </c>
      <c r="E166" t="s">
        <v>5447</v>
      </c>
      <c r="F166" t="s">
        <v>5023</v>
      </c>
      <c r="G166" t="s">
        <v>5448</v>
      </c>
    </row>
    <row r="167" ht="11.25" customHeight="1">
      <c r="A167" t="s">
        <v>14</v>
      </c>
      <c r="B167" t="s">
        <v>5441</v>
      </c>
      <c r="C167" t="s">
        <v>5442</v>
      </c>
      <c r="D167" t="s">
        <v>5449</v>
      </c>
      <c r="E167" t="s">
        <v>5450</v>
      </c>
      <c r="F167" t="s">
        <v>5023</v>
      </c>
      <c r="G167" t="s">
        <v>5451</v>
      </c>
    </row>
    <row r="168" ht="11.25" customHeight="1">
      <c r="A168" t="s">
        <v>14</v>
      </c>
      <c r="B168" t="s">
        <v>5441</v>
      </c>
      <c r="C168" t="s">
        <v>5442</v>
      </c>
      <c r="D168" t="s">
        <v>5452</v>
      </c>
      <c r="E168" t="s">
        <v>5453</v>
      </c>
      <c r="F168" t="s">
        <v>5023</v>
      </c>
      <c r="G168" t="s">
        <v>5454</v>
      </c>
    </row>
    <row r="169" ht="11.25" customHeight="1">
      <c r="A169" t="s">
        <v>14</v>
      </c>
      <c r="B169" t="s">
        <v>5441</v>
      </c>
      <c r="C169" t="s">
        <v>5442</v>
      </c>
      <c r="D169" t="s">
        <v>5441</v>
      </c>
      <c r="E169" t="s">
        <v>5442</v>
      </c>
      <c r="F169" t="s">
        <v>5014</v>
      </c>
      <c r="G169" t="s">
        <v>5455</v>
      </c>
    </row>
    <row r="170" ht="11.25" customHeight="1">
      <c r="A170" t="s">
        <v>14</v>
      </c>
      <c r="B170" t="s">
        <v>5441</v>
      </c>
      <c r="C170" t="s">
        <v>5442</v>
      </c>
      <c r="D170" t="s">
        <v>5456</v>
      </c>
      <c r="E170" t="s">
        <v>5457</v>
      </c>
      <c r="F170" t="s">
        <v>5017</v>
      </c>
      <c r="G170" t="s">
        <v>5458</v>
      </c>
    </row>
    <row r="171" ht="11.25" customHeight="1">
      <c r="A171" t="s">
        <v>14</v>
      </c>
      <c r="B171" t="s">
        <v>5441</v>
      </c>
      <c r="C171" t="s">
        <v>5442</v>
      </c>
      <c r="D171" t="s">
        <v>5459</v>
      </c>
      <c r="E171" t="s">
        <v>5460</v>
      </c>
      <c r="F171" t="s">
        <v>5023</v>
      </c>
      <c r="G171" t="s">
        <v>5461</v>
      </c>
    </row>
    <row r="172" ht="11.25" customHeight="1">
      <c r="A172" t="s">
        <v>14</v>
      </c>
      <c r="B172" t="s">
        <v>5441</v>
      </c>
      <c r="C172" t="s">
        <v>5442</v>
      </c>
      <c r="D172" t="s">
        <v>5462</v>
      </c>
      <c r="E172" t="s">
        <v>5463</v>
      </c>
      <c r="F172" t="s">
        <v>5023</v>
      </c>
      <c r="G172" t="s">
        <v>5464</v>
      </c>
    </row>
    <row r="173" ht="11.25" customHeight="1">
      <c r="A173" t="s">
        <v>14</v>
      </c>
      <c r="B173" t="s">
        <v>5441</v>
      </c>
      <c r="C173" t="s">
        <v>5442</v>
      </c>
      <c r="D173" t="s">
        <v>5465</v>
      </c>
      <c r="E173" t="s">
        <v>5466</v>
      </c>
      <c r="F173" t="s">
        <v>5023</v>
      </c>
      <c r="G173" t="s">
        <v>5467</v>
      </c>
    </row>
    <row r="174" ht="11.25" customHeight="1">
      <c r="A174" t="s">
        <v>14</v>
      </c>
      <c r="B174" t="s">
        <v>5441</v>
      </c>
      <c r="C174" t="s">
        <v>5442</v>
      </c>
      <c r="D174" t="s">
        <v>5468</v>
      </c>
      <c r="E174" t="s">
        <v>5469</v>
      </c>
      <c r="F174" t="s">
        <v>5023</v>
      </c>
      <c r="G174" t="s">
        <v>5470</v>
      </c>
    </row>
    <row r="175" ht="11.25" customHeight="1">
      <c r="A175" t="s">
        <v>14</v>
      </c>
      <c r="B175" t="s">
        <v>5441</v>
      </c>
      <c r="C175" t="s">
        <v>5442</v>
      </c>
      <c r="D175" t="s">
        <v>5471</v>
      </c>
      <c r="E175" t="s">
        <v>5472</v>
      </c>
      <c r="F175" t="s">
        <v>5023</v>
      </c>
      <c r="G175" t="s">
        <v>5473</v>
      </c>
    </row>
    <row r="176" ht="11.25" customHeight="1">
      <c r="A176" t="s">
        <v>14</v>
      </c>
      <c r="B176" t="s">
        <v>5441</v>
      </c>
      <c r="C176" t="s">
        <v>5442</v>
      </c>
      <c r="D176" t="s">
        <v>5474</v>
      </c>
      <c r="E176" t="s">
        <v>5475</v>
      </c>
      <c r="F176" t="s">
        <v>5023</v>
      </c>
      <c r="G176" t="s">
        <v>5476</v>
      </c>
    </row>
    <row r="177" ht="11.25" customHeight="1">
      <c r="A177" t="s">
        <v>14</v>
      </c>
      <c r="B177" t="s">
        <v>5477</v>
      </c>
      <c r="C177" t="s">
        <v>5478</v>
      </c>
      <c r="D177" t="s">
        <v>5479</v>
      </c>
      <c r="E177" t="s">
        <v>5480</v>
      </c>
      <c r="F177" t="s">
        <v>5023</v>
      </c>
      <c r="G177" t="s">
        <v>5481</v>
      </c>
    </row>
    <row r="178" ht="11.25" customHeight="1">
      <c r="A178" t="s">
        <v>14</v>
      </c>
      <c r="B178" t="s">
        <v>5477</v>
      </c>
      <c r="C178" t="s">
        <v>5478</v>
      </c>
      <c r="D178" t="s">
        <v>5482</v>
      </c>
      <c r="E178" t="s">
        <v>5483</v>
      </c>
      <c r="F178" t="s">
        <v>5023</v>
      </c>
      <c r="G178" t="s">
        <v>5484</v>
      </c>
    </row>
    <row r="179" ht="11.25" customHeight="1">
      <c r="A179" t="s">
        <v>14</v>
      </c>
      <c r="B179" t="s">
        <v>5477</v>
      </c>
      <c r="C179" t="s">
        <v>5478</v>
      </c>
      <c r="D179" t="s">
        <v>5485</v>
      </c>
      <c r="E179" t="s">
        <v>5486</v>
      </c>
      <c r="F179" t="s">
        <v>5023</v>
      </c>
      <c r="G179" t="s">
        <v>5487</v>
      </c>
    </row>
    <row r="180" ht="11.25" customHeight="1">
      <c r="A180" t="s">
        <v>14</v>
      </c>
      <c r="B180" t="s">
        <v>5477</v>
      </c>
      <c r="C180" t="s">
        <v>5478</v>
      </c>
      <c r="D180" t="s">
        <v>5477</v>
      </c>
      <c r="E180" t="s">
        <v>5478</v>
      </c>
      <c r="F180" t="s">
        <v>5014</v>
      </c>
      <c r="G180" t="s">
        <v>5488</v>
      </c>
    </row>
    <row r="181" ht="11.25" customHeight="1">
      <c r="A181" t="s">
        <v>14</v>
      </c>
      <c r="B181" t="s">
        <v>5477</v>
      </c>
      <c r="C181" t="s">
        <v>5478</v>
      </c>
      <c r="D181" t="s">
        <v>5489</v>
      </c>
      <c r="E181" t="s">
        <v>5490</v>
      </c>
      <c r="F181" t="s">
        <v>5017</v>
      </c>
      <c r="G181" t="s">
        <v>5491</v>
      </c>
    </row>
    <row r="182" ht="11.25" customHeight="1">
      <c r="A182" t="s">
        <v>14</v>
      </c>
      <c r="B182" t="s">
        <v>5477</v>
      </c>
      <c r="C182" t="s">
        <v>5478</v>
      </c>
      <c r="D182" t="s">
        <v>5492</v>
      </c>
      <c r="E182" t="s">
        <v>5493</v>
      </c>
      <c r="F182" t="s">
        <v>5023</v>
      </c>
      <c r="G182" t="s">
        <v>5494</v>
      </c>
    </row>
    <row r="183" ht="11.25" customHeight="1">
      <c r="A183" t="s">
        <v>14</v>
      </c>
      <c r="B183" t="s">
        <v>5477</v>
      </c>
      <c r="C183" t="s">
        <v>5478</v>
      </c>
      <c r="D183" t="s">
        <v>5495</v>
      </c>
      <c r="E183" t="s">
        <v>5496</v>
      </c>
      <c r="F183" t="s">
        <v>5023</v>
      </c>
      <c r="G183" t="s">
        <v>5497</v>
      </c>
    </row>
    <row r="184" ht="11.25" customHeight="1">
      <c r="A184" t="s">
        <v>14</v>
      </c>
      <c r="B184" t="s">
        <v>5477</v>
      </c>
      <c r="C184" t="s">
        <v>5478</v>
      </c>
      <c r="D184" t="s">
        <v>5400</v>
      </c>
      <c r="E184" t="s">
        <v>5498</v>
      </c>
      <c r="F184" t="s">
        <v>5023</v>
      </c>
      <c r="G184" t="s">
        <v>5499</v>
      </c>
    </row>
    <row r="185" ht="11.25" customHeight="1">
      <c r="A185" t="s">
        <v>14</v>
      </c>
      <c r="B185" t="s">
        <v>5477</v>
      </c>
      <c r="C185" t="s">
        <v>5478</v>
      </c>
      <c r="D185" t="s">
        <v>5500</v>
      </c>
      <c r="E185" t="s">
        <v>5501</v>
      </c>
      <c r="F185" t="s">
        <v>5023</v>
      </c>
      <c r="G185" t="s">
        <v>5502</v>
      </c>
    </row>
    <row r="186" ht="11.25" customHeight="1">
      <c r="A186" t="s">
        <v>14</v>
      </c>
      <c r="B186" t="s">
        <v>5477</v>
      </c>
      <c r="C186" t="s">
        <v>5478</v>
      </c>
      <c r="D186" t="s">
        <v>5084</v>
      </c>
      <c r="E186" t="s">
        <v>5503</v>
      </c>
      <c r="F186" t="s">
        <v>5023</v>
      </c>
      <c r="G186" t="s">
        <v>5504</v>
      </c>
    </row>
    <row r="187" ht="11.25" customHeight="1">
      <c r="A187" t="s">
        <v>14</v>
      </c>
      <c r="B187" t="s">
        <v>5477</v>
      </c>
      <c r="C187" t="s">
        <v>5478</v>
      </c>
      <c r="D187" t="s">
        <v>5505</v>
      </c>
      <c r="E187" t="s">
        <v>5506</v>
      </c>
      <c r="F187" t="s">
        <v>5023</v>
      </c>
      <c r="G187" t="s">
        <v>5507</v>
      </c>
    </row>
    <row r="188" ht="11.25" customHeight="1">
      <c r="A188" t="s">
        <v>14</v>
      </c>
      <c r="B188" t="s">
        <v>5508</v>
      </c>
      <c r="C188" t="s">
        <v>5509</v>
      </c>
      <c r="D188" t="s">
        <v>5510</v>
      </c>
      <c r="E188" t="s">
        <v>5511</v>
      </c>
      <c r="F188" t="s">
        <v>5023</v>
      </c>
      <c r="G188" t="s">
        <v>5512</v>
      </c>
    </row>
    <row r="189" ht="11.25" customHeight="1">
      <c r="A189" t="s">
        <v>14</v>
      </c>
      <c r="B189" t="s">
        <v>5508</v>
      </c>
      <c r="C189" t="s">
        <v>5509</v>
      </c>
      <c r="D189" t="s">
        <v>5513</v>
      </c>
      <c r="E189" t="s">
        <v>5514</v>
      </c>
      <c r="F189" t="s">
        <v>5023</v>
      </c>
      <c r="G189" t="s">
        <v>5515</v>
      </c>
    </row>
    <row r="190" ht="11.25" customHeight="1">
      <c r="A190" t="s">
        <v>14</v>
      </c>
      <c r="B190" t="s">
        <v>5508</v>
      </c>
      <c r="C190" t="s">
        <v>5509</v>
      </c>
      <c r="D190" t="s">
        <v>5516</v>
      </c>
      <c r="E190" t="s">
        <v>5517</v>
      </c>
      <c r="F190" t="s">
        <v>5023</v>
      </c>
      <c r="G190" t="s">
        <v>5518</v>
      </c>
    </row>
    <row r="191" ht="11.25" customHeight="1">
      <c r="A191" t="s">
        <v>14</v>
      </c>
      <c r="B191" t="s">
        <v>5508</v>
      </c>
      <c r="C191" t="s">
        <v>5509</v>
      </c>
      <c r="D191" t="s">
        <v>5519</v>
      </c>
      <c r="E191" t="s">
        <v>5520</v>
      </c>
      <c r="F191" t="s">
        <v>5023</v>
      </c>
      <c r="G191" t="s">
        <v>5521</v>
      </c>
    </row>
    <row r="192" ht="11.25" customHeight="1">
      <c r="A192" t="s">
        <v>14</v>
      </c>
      <c r="B192" t="s">
        <v>5508</v>
      </c>
      <c r="C192" t="s">
        <v>5509</v>
      </c>
      <c r="D192" t="s">
        <v>5208</v>
      </c>
      <c r="E192" t="s">
        <v>5522</v>
      </c>
      <c r="F192" t="s">
        <v>5023</v>
      </c>
      <c r="G192" t="s">
        <v>5523</v>
      </c>
    </row>
    <row r="193" ht="11.25" customHeight="1">
      <c r="A193" t="s">
        <v>14</v>
      </c>
      <c r="B193" t="s">
        <v>5508</v>
      </c>
      <c r="C193" t="s">
        <v>5509</v>
      </c>
      <c r="D193" t="s">
        <v>5508</v>
      </c>
      <c r="E193" t="s">
        <v>5509</v>
      </c>
      <c r="F193" t="s">
        <v>5014</v>
      </c>
      <c r="G193" t="s">
        <v>5524</v>
      </c>
    </row>
    <row r="194" ht="11.25" customHeight="1">
      <c r="A194" t="s">
        <v>14</v>
      </c>
      <c r="B194" t="s">
        <v>5508</v>
      </c>
      <c r="C194" t="s">
        <v>5509</v>
      </c>
      <c r="D194" t="s">
        <v>5525</v>
      </c>
      <c r="E194" t="s">
        <v>5526</v>
      </c>
      <c r="F194" t="s">
        <v>5023</v>
      </c>
      <c r="G194" t="s">
        <v>5527</v>
      </c>
    </row>
    <row r="195" ht="11.25" customHeight="1">
      <c r="A195" t="s">
        <v>14</v>
      </c>
      <c r="B195" t="s">
        <v>5508</v>
      </c>
      <c r="C195" t="s">
        <v>5509</v>
      </c>
      <c r="D195" t="s">
        <v>5528</v>
      </c>
      <c r="E195" t="s">
        <v>5529</v>
      </c>
      <c r="F195" t="s">
        <v>5023</v>
      </c>
      <c r="G195" t="s">
        <v>5530</v>
      </c>
    </row>
    <row r="196" ht="11.25" customHeight="1">
      <c r="A196" t="s">
        <v>14</v>
      </c>
      <c r="B196" t="s">
        <v>5508</v>
      </c>
      <c r="C196" t="s">
        <v>5509</v>
      </c>
      <c r="D196" t="s">
        <v>5080</v>
      </c>
      <c r="E196" t="s">
        <v>5531</v>
      </c>
      <c r="F196" t="s">
        <v>5023</v>
      </c>
      <c r="G196" t="s">
        <v>5532</v>
      </c>
    </row>
    <row r="197" ht="11.25" customHeight="1">
      <c r="A197" t="s">
        <v>14</v>
      </c>
      <c r="B197" t="s">
        <v>5508</v>
      </c>
      <c r="C197" t="s">
        <v>5509</v>
      </c>
      <c r="D197" t="s">
        <v>5533</v>
      </c>
      <c r="E197" t="s">
        <v>5534</v>
      </c>
      <c r="F197" t="s">
        <v>5023</v>
      </c>
      <c r="G197" t="s">
        <v>5535</v>
      </c>
    </row>
    <row r="198" ht="11.25" customHeight="1">
      <c r="A198" t="s">
        <v>14</v>
      </c>
      <c r="B198" t="s">
        <v>5508</v>
      </c>
      <c r="C198" t="s">
        <v>5509</v>
      </c>
      <c r="D198" t="s">
        <v>5382</v>
      </c>
      <c r="E198" t="s">
        <v>5536</v>
      </c>
      <c r="F198" t="s">
        <v>5023</v>
      </c>
      <c r="G198" t="s">
        <v>5537</v>
      </c>
    </row>
    <row r="199" ht="11.25" customHeight="1">
      <c r="A199" t="s">
        <v>14</v>
      </c>
      <c r="B199" t="s">
        <v>5508</v>
      </c>
      <c r="C199" t="s">
        <v>5509</v>
      </c>
      <c r="D199" t="s">
        <v>5538</v>
      </c>
      <c r="E199" t="s">
        <v>5539</v>
      </c>
      <c r="F199" t="s">
        <v>5023</v>
      </c>
      <c r="G199" t="s">
        <v>5540</v>
      </c>
    </row>
    <row r="200" ht="11.25" customHeight="1">
      <c r="A200" t="s">
        <v>14</v>
      </c>
      <c r="B200" t="s">
        <v>5508</v>
      </c>
      <c r="C200" t="s">
        <v>5509</v>
      </c>
      <c r="D200" t="s">
        <v>5541</v>
      </c>
      <c r="E200" t="s">
        <v>5542</v>
      </c>
      <c r="F200" t="s">
        <v>5023</v>
      </c>
      <c r="G200" t="s">
        <v>5543</v>
      </c>
    </row>
    <row r="201" ht="11.25" customHeight="1">
      <c r="A201" t="s">
        <v>14</v>
      </c>
      <c r="B201" t="s">
        <v>5544</v>
      </c>
      <c r="C201" t="s">
        <v>5545</v>
      </c>
      <c r="D201" t="s">
        <v>5546</v>
      </c>
      <c r="E201" t="s">
        <v>5547</v>
      </c>
      <c r="F201" t="s">
        <v>5023</v>
      </c>
      <c r="G201" t="s">
        <v>5548</v>
      </c>
    </row>
    <row r="202" ht="11.25" customHeight="1">
      <c r="A202" t="s">
        <v>14</v>
      </c>
      <c r="B202" t="s">
        <v>5544</v>
      </c>
      <c r="C202" t="s">
        <v>5545</v>
      </c>
      <c r="D202" t="s">
        <v>5549</v>
      </c>
      <c r="E202" t="s">
        <v>5550</v>
      </c>
      <c r="F202" t="s">
        <v>5023</v>
      </c>
      <c r="G202" t="s">
        <v>5551</v>
      </c>
    </row>
    <row r="203" ht="11.25" customHeight="1">
      <c r="A203" t="s">
        <v>14</v>
      </c>
      <c r="B203" t="s">
        <v>5544</v>
      </c>
      <c r="C203" t="s">
        <v>5545</v>
      </c>
      <c r="D203" t="s">
        <v>5552</v>
      </c>
      <c r="E203" t="s">
        <v>5553</v>
      </c>
      <c r="F203" t="s">
        <v>5023</v>
      </c>
      <c r="G203" t="s">
        <v>5554</v>
      </c>
    </row>
    <row r="204" ht="11.25" customHeight="1">
      <c r="A204" t="s">
        <v>14</v>
      </c>
      <c r="B204" t="s">
        <v>5544</v>
      </c>
      <c r="C204" t="s">
        <v>5545</v>
      </c>
      <c r="D204" t="s">
        <v>5555</v>
      </c>
      <c r="E204" t="s">
        <v>5556</v>
      </c>
      <c r="F204" t="s">
        <v>5023</v>
      </c>
      <c r="G204" t="s">
        <v>5557</v>
      </c>
    </row>
    <row r="205" ht="11.25" customHeight="1">
      <c r="A205" t="s">
        <v>14</v>
      </c>
      <c r="B205" t="s">
        <v>5544</v>
      </c>
      <c r="C205" t="s">
        <v>5545</v>
      </c>
      <c r="D205" t="s">
        <v>5558</v>
      </c>
      <c r="E205" t="s">
        <v>5559</v>
      </c>
      <c r="F205" t="s">
        <v>5023</v>
      </c>
      <c r="G205" t="s">
        <v>5560</v>
      </c>
    </row>
    <row r="206" ht="11.25" customHeight="1">
      <c r="A206" t="s">
        <v>14</v>
      </c>
      <c r="B206" t="s">
        <v>5544</v>
      </c>
      <c r="C206" t="s">
        <v>5545</v>
      </c>
      <c r="D206" t="s">
        <v>5544</v>
      </c>
      <c r="E206" t="s">
        <v>5545</v>
      </c>
      <c r="F206" t="s">
        <v>5014</v>
      </c>
      <c r="G206" t="s">
        <v>5561</v>
      </c>
    </row>
    <row r="207" ht="11.25" customHeight="1">
      <c r="A207" t="s">
        <v>14</v>
      </c>
      <c r="B207" t="s">
        <v>5544</v>
      </c>
      <c r="C207" t="s">
        <v>5545</v>
      </c>
      <c r="D207" t="s">
        <v>5562</v>
      </c>
      <c r="E207" t="s">
        <v>5563</v>
      </c>
      <c r="F207" t="s">
        <v>5017</v>
      </c>
      <c r="G207" t="s">
        <v>5564</v>
      </c>
    </row>
    <row r="208" ht="11.25" customHeight="1">
      <c r="A208" t="s">
        <v>14</v>
      </c>
      <c r="B208" t="s">
        <v>5544</v>
      </c>
      <c r="C208" t="s">
        <v>5545</v>
      </c>
      <c r="D208" t="s">
        <v>5565</v>
      </c>
      <c r="E208" t="s">
        <v>5566</v>
      </c>
      <c r="F208" t="s">
        <v>5023</v>
      </c>
      <c r="G208" t="s">
        <v>5567</v>
      </c>
    </row>
    <row r="209" ht="11.25" customHeight="1">
      <c r="A209" t="s">
        <v>14</v>
      </c>
      <c r="B209" t="s">
        <v>5544</v>
      </c>
      <c r="C209" t="s">
        <v>5545</v>
      </c>
      <c r="D209" t="s">
        <v>5568</v>
      </c>
      <c r="E209" t="s">
        <v>5569</v>
      </c>
      <c r="F209" t="s">
        <v>5023</v>
      </c>
      <c r="G209" t="s">
        <v>5570</v>
      </c>
    </row>
    <row r="210" ht="11.25" customHeight="1">
      <c r="A210" t="s">
        <v>14</v>
      </c>
      <c r="B210" t="s">
        <v>5544</v>
      </c>
      <c r="C210" t="s">
        <v>5545</v>
      </c>
      <c r="D210" t="s">
        <v>5571</v>
      </c>
      <c r="E210" t="s">
        <v>5572</v>
      </c>
      <c r="F210" t="s">
        <v>5023</v>
      </c>
      <c r="G210" t="s">
        <v>5573</v>
      </c>
    </row>
    <row r="211" ht="11.25" customHeight="1">
      <c r="A211" t="s">
        <v>14</v>
      </c>
      <c r="B211" t="s">
        <v>5544</v>
      </c>
      <c r="C211" t="s">
        <v>5545</v>
      </c>
      <c r="D211" t="s">
        <v>5574</v>
      </c>
      <c r="E211" t="s">
        <v>5575</v>
      </c>
      <c r="F211" t="s">
        <v>5023</v>
      </c>
      <c r="G211" t="s">
        <v>5576</v>
      </c>
    </row>
    <row r="212" ht="11.25" customHeight="1">
      <c r="A212" t="s">
        <v>14</v>
      </c>
      <c r="B212" t="s">
        <v>5544</v>
      </c>
      <c r="C212" t="s">
        <v>5545</v>
      </c>
      <c r="D212" t="s">
        <v>5577</v>
      </c>
      <c r="E212" t="s">
        <v>5578</v>
      </c>
      <c r="F212" t="s">
        <v>5023</v>
      </c>
      <c r="G212" t="s">
        <v>5579</v>
      </c>
    </row>
    <row r="213" ht="11.25" customHeight="1">
      <c r="A213" t="s">
        <v>14</v>
      </c>
      <c r="B213" t="s">
        <v>5544</v>
      </c>
      <c r="C213" t="s">
        <v>5545</v>
      </c>
      <c r="D213" t="s">
        <v>5580</v>
      </c>
      <c r="E213" t="s">
        <v>5581</v>
      </c>
      <c r="F213" t="s">
        <v>5023</v>
      </c>
      <c r="G213" t="s">
        <v>5582</v>
      </c>
    </row>
    <row r="214" ht="11.25" customHeight="1">
      <c r="A214" t="s">
        <v>14</v>
      </c>
      <c r="B214" t="s">
        <v>5544</v>
      </c>
      <c r="C214" t="s">
        <v>5545</v>
      </c>
      <c r="D214" t="s">
        <v>5583</v>
      </c>
      <c r="E214" t="s">
        <v>5584</v>
      </c>
      <c r="F214" t="s">
        <v>5023</v>
      </c>
      <c r="G214" t="s">
        <v>5585</v>
      </c>
    </row>
    <row r="215" ht="11.25" customHeight="1">
      <c r="A215" t="s">
        <v>14</v>
      </c>
      <c r="B215" t="s">
        <v>5586</v>
      </c>
      <c r="C215" t="s">
        <v>5587</v>
      </c>
      <c r="D215" t="s">
        <v>5588</v>
      </c>
      <c r="E215" t="s">
        <v>5589</v>
      </c>
      <c r="F215" t="s">
        <v>5023</v>
      </c>
      <c r="G215" t="s">
        <v>5590</v>
      </c>
    </row>
    <row r="216" ht="11.25" customHeight="1">
      <c r="A216" t="s">
        <v>14</v>
      </c>
      <c r="B216" t="s">
        <v>5586</v>
      </c>
      <c r="C216" t="s">
        <v>5587</v>
      </c>
      <c r="D216" t="s">
        <v>5591</v>
      </c>
      <c r="E216" t="s">
        <v>5592</v>
      </c>
      <c r="F216" t="s">
        <v>5023</v>
      </c>
      <c r="G216" t="s">
        <v>5593</v>
      </c>
    </row>
    <row r="217" ht="11.25" customHeight="1">
      <c r="A217" t="s">
        <v>14</v>
      </c>
      <c r="B217" t="s">
        <v>5586</v>
      </c>
      <c r="C217" t="s">
        <v>5587</v>
      </c>
      <c r="D217" t="s">
        <v>5594</v>
      </c>
      <c r="E217" t="s">
        <v>5595</v>
      </c>
      <c r="F217" t="s">
        <v>5023</v>
      </c>
      <c r="G217" t="s">
        <v>5596</v>
      </c>
    </row>
    <row r="218" ht="11.25" customHeight="1">
      <c r="A218" t="s">
        <v>14</v>
      </c>
      <c r="B218" t="s">
        <v>5586</v>
      </c>
      <c r="C218" t="s">
        <v>5587</v>
      </c>
      <c r="D218" t="s">
        <v>5597</v>
      </c>
      <c r="E218" t="s">
        <v>5598</v>
      </c>
      <c r="F218" t="s">
        <v>5023</v>
      </c>
      <c r="G218" t="s">
        <v>5599</v>
      </c>
    </row>
    <row r="219" ht="11.25" customHeight="1">
      <c r="A219" t="s">
        <v>14</v>
      </c>
      <c r="B219" t="s">
        <v>5586</v>
      </c>
      <c r="C219" t="s">
        <v>5587</v>
      </c>
      <c r="D219" t="s">
        <v>5424</v>
      </c>
      <c r="E219" t="s">
        <v>5600</v>
      </c>
      <c r="F219" t="s">
        <v>5023</v>
      </c>
      <c r="G219" t="s">
        <v>5601</v>
      </c>
    </row>
    <row r="220" ht="11.25" customHeight="1">
      <c r="A220" t="s">
        <v>14</v>
      </c>
      <c r="B220" t="s">
        <v>5586</v>
      </c>
      <c r="C220" t="s">
        <v>5587</v>
      </c>
      <c r="D220" t="s">
        <v>5602</v>
      </c>
      <c r="E220" t="s">
        <v>5603</v>
      </c>
      <c r="F220" t="s">
        <v>5023</v>
      </c>
      <c r="G220" t="s">
        <v>5604</v>
      </c>
    </row>
    <row r="221" ht="11.25" customHeight="1">
      <c r="A221" t="s">
        <v>14</v>
      </c>
      <c r="B221" t="s">
        <v>5586</v>
      </c>
      <c r="C221" t="s">
        <v>5587</v>
      </c>
      <c r="D221" t="s">
        <v>5586</v>
      </c>
      <c r="E221" t="s">
        <v>5587</v>
      </c>
      <c r="F221" t="s">
        <v>5014</v>
      </c>
      <c r="G221" t="s">
        <v>5605</v>
      </c>
    </row>
    <row r="222" ht="11.25" customHeight="1">
      <c r="A222" t="s">
        <v>14</v>
      </c>
      <c r="B222" t="s">
        <v>5586</v>
      </c>
      <c r="C222" t="s">
        <v>5587</v>
      </c>
      <c r="D222" t="s">
        <v>5606</v>
      </c>
      <c r="E222" t="s">
        <v>5607</v>
      </c>
      <c r="F222" t="s">
        <v>5023</v>
      </c>
      <c r="G222" t="s">
        <v>5608</v>
      </c>
    </row>
    <row r="223" ht="11.25" customHeight="1">
      <c r="A223" t="s">
        <v>14</v>
      </c>
      <c r="B223" t="s">
        <v>5586</v>
      </c>
      <c r="C223" t="s">
        <v>5587</v>
      </c>
      <c r="D223" t="s">
        <v>5609</v>
      </c>
      <c r="E223" t="s">
        <v>5610</v>
      </c>
      <c r="F223" t="s">
        <v>5023</v>
      </c>
      <c r="G223" t="s">
        <v>5611</v>
      </c>
    </row>
    <row r="224" ht="11.25" customHeight="1">
      <c r="A224" t="s">
        <v>14</v>
      </c>
      <c r="B224" t="s">
        <v>5586</v>
      </c>
      <c r="C224" t="s">
        <v>5587</v>
      </c>
      <c r="D224" t="s">
        <v>5612</v>
      </c>
      <c r="E224" t="s">
        <v>5613</v>
      </c>
      <c r="F224" t="s">
        <v>5023</v>
      </c>
      <c r="G224" t="s">
        <v>5614</v>
      </c>
    </row>
    <row r="225" ht="11.25" customHeight="1">
      <c r="A225" t="s">
        <v>14</v>
      </c>
      <c r="B225" t="s">
        <v>5586</v>
      </c>
      <c r="C225" t="s">
        <v>5587</v>
      </c>
      <c r="D225" t="s">
        <v>5615</v>
      </c>
      <c r="E225" t="s">
        <v>5616</v>
      </c>
      <c r="F225" t="s">
        <v>5023</v>
      </c>
      <c r="G225" t="s">
        <v>5617</v>
      </c>
    </row>
    <row r="226" ht="11.25" customHeight="1">
      <c r="A226" t="s">
        <v>14</v>
      </c>
      <c r="B226" t="s">
        <v>5586</v>
      </c>
      <c r="C226" t="s">
        <v>5587</v>
      </c>
      <c r="D226" t="s">
        <v>5080</v>
      </c>
      <c r="E226" t="s">
        <v>5618</v>
      </c>
      <c r="F226" t="s">
        <v>5023</v>
      </c>
      <c r="G226" t="s">
        <v>5619</v>
      </c>
    </row>
    <row r="227" ht="11.25" customHeight="1">
      <c r="A227" t="s">
        <v>14</v>
      </c>
      <c r="B227" t="s">
        <v>5586</v>
      </c>
      <c r="C227" t="s">
        <v>5587</v>
      </c>
      <c r="D227" t="s">
        <v>5620</v>
      </c>
      <c r="E227" t="s">
        <v>5621</v>
      </c>
      <c r="F227" t="s">
        <v>5023</v>
      </c>
      <c r="G227" t="s">
        <v>5622</v>
      </c>
    </row>
    <row r="228" ht="11.25" customHeight="1">
      <c r="A228" t="s">
        <v>14</v>
      </c>
      <c r="B228" t="s">
        <v>5623</v>
      </c>
      <c r="C228" t="s">
        <v>5624</v>
      </c>
      <c r="D228" t="s">
        <v>5625</v>
      </c>
      <c r="E228" t="s">
        <v>5626</v>
      </c>
      <c r="F228" t="s">
        <v>5023</v>
      </c>
      <c r="G228" t="s">
        <v>5627</v>
      </c>
    </row>
    <row r="229" ht="11.25" customHeight="1">
      <c r="A229" t="s">
        <v>14</v>
      </c>
      <c r="B229" t="s">
        <v>5623</v>
      </c>
      <c r="C229" t="s">
        <v>5624</v>
      </c>
      <c r="D229" t="s">
        <v>5628</v>
      </c>
      <c r="E229" t="s">
        <v>5629</v>
      </c>
      <c r="F229" t="s">
        <v>5023</v>
      </c>
      <c r="G229" t="s">
        <v>5630</v>
      </c>
    </row>
    <row r="230" ht="11.25" customHeight="1">
      <c r="A230" t="s">
        <v>14</v>
      </c>
      <c r="B230" t="s">
        <v>5623</v>
      </c>
      <c r="C230" t="s">
        <v>5624</v>
      </c>
      <c r="D230" t="s">
        <v>5631</v>
      </c>
      <c r="E230" t="s">
        <v>5632</v>
      </c>
      <c r="F230" t="s">
        <v>5023</v>
      </c>
      <c r="G230" t="s">
        <v>5633</v>
      </c>
    </row>
    <row r="231" ht="11.25" customHeight="1">
      <c r="A231" t="s">
        <v>14</v>
      </c>
      <c r="B231" t="s">
        <v>5623</v>
      </c>
      <c r="C231" t="s">
        <v>5624</v>
      </c>
      <c r="D231" t="s">
        <v>5634</v>
      </c>
      <c r="E231" t="s">
        <v>5635</v>
      </c>
      <c r="F231" t="s">
        <v>5023</v>
      </c>
      <c r="G231" t="s">
        <v>5636</v>
      </c>
    </row>
    <row r="232" ht="11.25" customHeight="1">
      <c r="A232" t="s">
        <v>14</v>
      </c>
      <c r="B232" t="s">
        <v>5623</v>
      </c>
      <c r="C232" t="s">
        <v>5624</v>
      </c>
      <c r="D232" t="s">
        <v>5637</v>
      </c>
      <c r="E232" t="s">
        <v>5638</v>
      </c>
      <c r="F232" t="s">
        <v>5023</v>
      </c>
      <c r="G232" t="s">
        <v>5639</v>
      </c>
    </row>
    <row r="233" ht="11.25" customHeight="1">
      <c r="A233" t="s">
        <v>14</v>
      </c>
      <c r="B233" t="s">
        <v>5623</v>
      </c>
      <c r="C233" t="s">
        <v>5624</v>
      </c>
      <c r="D233" t="s">
        <v>5640</v>
      </c>
      <c r="E233" t="s">
        <v>5641</v>
      </c>
      <c r="F233" t="s">
        <v>5023</v>
      </c>
      <c r="G233" t="s">
        <v>5642</v>
      </c>
    </row>
    <row r="234" ht="11.25" customHeight="1">
      <c r="A234" t="s">
        <v>14</v>
      </c>
      <c r="B234" t="s">
        <v>5623</v>
      </c>
      <c r="C234" t="s">
        <v>5624</v>
      </c>
      <c r="D234" t="s">
        <v>5643</v>
      </c>
      <c r="E234" t="s">
        <v>5644</v>
      </c>
      <c r="F234" t="s">
        <v>5023</v>
      </c>
      <c r="G234" t="s">
        <v>5645</v>
      </c>
    </row>
    <row r="235" ht="11.25" customHeight="1">
      <c r="A235" t="s">
        <v>14</v>
      </c>
      <c r="B235" t="s">
        <v>5623</v>
      </c>
      <c r="C235" t="s">
        <v>5624</v>
      </c>
      <c r="D235" t="s">
        <v>5646</v>
      </c>
      <c r="E235" t="s">
        <v>5647</v>
      </c>
      <c r="F235" t="s">
        <v>5023</v>
      </c>
      <c r="G235" t="s">
        <v>5648</v>
      </c>
    </row>
    <row r="236" ht="11.25" customHeight="1">
      <c r="A236" t="s">
        <v>14</v>
      </c>
      <c r="B236" t="s">
        <v>5623</v>
      </c>
      <c r="C236" t="s">
        <v>5624</v>
      </c>
      <c r="D236" t="s">
        <v>5623</v>
      </c>
      <c r="E236" t="s">
        <v>5624</v>
      </c>
      <c r="F236" t="s">
        <v>5014</v>
      </c>
      <c r="G236" t="s">
        <v>5649</v>
      </c>
    </row>
    <row r="237" ht="11.25" customHeight="1">
      <c r="A237" t="s">
        <v>14</v>
      </c>
      <c r="B237" t="s">
        <v>5623</v>
      </c>
      <c r="C237" t="s">
        <v>5624</v>
      </c>
      <c r="D237" t="s">
        <v>5650</v>
      </c>
      <c r="E237" t="s">
        <v>5651</v>
      </c>
      <c r="F237" t="s">
        <v>5020</v>
      </c>
      <c r="G237" t="s">
        <v>5652</v>
      </c>
    </row>
    <row r="238" ht="11.25" customHeight="1">
      <c r="A238" t="s">
        <v>14</v>
      </c>
      <c r="B238" t="s">
        <v>5623</v>
      </c>
      <c r="C238" t="s">
        <v>5624</v>
      </c>
      <c r="D238" t="s">
        <v>5653</v>
      </c>
      <c r="E238" t="s">
        <v>5654</v>
      </c>
      <c r="F238" t="s">
        <v>5023</v>
      </c>
      <c r="G238" t="s">
        <v>5655</v>
      </c>
    </row>
    <row r="239" ht="11.25" customHeight="1">
      <c r="A239" t="s">
        <v>14</v>
      </c>
      <c r="B239" t="s">
        <v>5623</v>
      </c>
      <c r="C239" t="s">
        <v>5624</v>
      </c>
      <c r="D239" t="s">
        <v>5656</v>
      </c>
      <c r="E239" t="s">
        <v>5657</v>
      </c>
      <c r="F239" t="s">
        <v>5020</v>
      </c>
      <c r="G239" t="s">
        <v>5658</v>
      </c>
    </row>
    <row r="240" ht="11.25" customHeight="1">
      <c r="A240" t="s">
        <v>14</v>
      </c>
      <c r="B240" t="s">
        <v>5623</v>
      </c>
      <c r="C240" t="s">
        <v>5624</v>
      </c>
      <c r="D240" t="s">
        <v>5659</v>
      </c>
      <c r="E240" t="s">
        <v>5660</v>
      </c>
      <c r="F240" t="s">
        <v>5023</v>
      </c>
      <c r="G240" t="s">
        <v>5661</v>
      </c>
    </row>
    <row r="241" ht="11.25" customHeight="1">
      <c r="A241" t="s">
        <v>14</v>
      </c>
      <c r="B241" t="s">
        <v>5623</v>
      </c>
      <c r="C241" t="s">
        <v>5624</v>
      </c>
      <c r="D241" t="s">
        <v>5662</v>
      </c>
      <c r="E241" t="s">
        <v>5663</v>
      </c>
      <c r="F241" t="s">
        <v>5023</v>
      </c>
      <c r="G241" t="s">
        <v>5664</v>
      </c>
    </row>
    <row r="242" ht="11.25" customHeight="1">
      <c r="A242" t="s">
        <v>14</v>
      </c>
      <c r="B242" t="s">
        <v>5623</v>
      </c>
      <c r="C242" t="s">
        <v>5624</v>
      </c>
      <c r="D242" t="s">
        <v>5665</v>
      </c>
      <c r="E242" t="s">
        <v>5666</v>
      </c>
      <c r="F242" t="s">
        <v>5023</v>
      </c>
      <c r="G242" t="s">
        <v>5667</v>
      </c>
    </row>
    <row r="243" ht="11.25" customHeight="1">
      <c r="A243" t="s">
        <v>14</v>
      </c>
      <c r="B243" t="s">
        <v>5668</v>
      </c>
      <c r="C243" t="s">
        <v>5669</v>
      </c>
      <c r="D243" t="s">
        <v>5670</v>
      </c>
      <c r="E243" t="s">
        <v>5671</v>
      </c>
      <c r="F243" t="s">
        <v>5023</v>
      </c>
      <c r="G243" t="s">
        <v>5672</v>
      </c>
    </row>
    <row r="244" ht="11.25" customHeight="1">
      <c r="A244" t="s">
        <v>14</v>
      </c>
      <c r="B244" t="s">
        <v>5668</v>
      </c>
      <c r="C244" t="s">
        <v>5669</v>
      </c>
      <c r="D244" t="s">
        <v>5673</v>
      </c>
      <c r="E244" t="s">
        <v>5674</v>
      </c>
      <c r="F244" t="s">
        <v>5023</v>
      </c>
      <c r="G244" t="s">
        <v>5675</v>
      </c>
    </row>
    <row r="245" ht="11.25" customHeight="1">
      <c r="A245" t="s">
        <v>14</v>
      </c>
      <c r="B245" t="s">
        <v>5668</v>
      </c>
      <c r="C245" t="s">
        <v>5669</v>
      </c>
      <c r="D245" t="s">
        <v>5676</v>
      </c>
      <c r="E245" t="s">
        <v>5677</v>
      </c>
      <c r="F245" t="s">
        <v>5023</v>
      </c>
      <c r="G245" t="s">
        <v>5678</v>
      </c>
    </row>
    <row r="246" ht="11.25" customHeight="1">
      <c r="A246" t="s">
        <v>14</v>
      </c>
      <c r="B246" t="s">
        <v>5668</v>
      </c>
      <c r="C246" t="s">
        <v>5669</v>
      </c>
      <c r="D246" t="s">
        <v>5679</v>
      </c>
      <c r="E246" t="s">
        <v>5680</v>
      </c>
      <c r="F246" t="s">
        <v>5023</v>
      </c>
      <c r="G246" t="s">
        <v>5681</v>
      </c>
    </row>
    <row r="247" ht="11.25" customHeight="1">
      <c r="A247" t="s">
        <v>14</v>
      </c>
      <c r="B247" t="s">
        <v>5668</v>
      </c>
      <c r="C247" t="s">
        <v>5669</v>
      </c>
      <c r="D247" t="s">
        <v>5668</v>
      </c>
      <c r="E247" t="s">
        <v>5669</v>
      </c>
      <c r="F247" t="s">
        <v>5014</v>
      </c>
      <c r="G247" t="s">
        <v>5682</v>
      </c>
    </row>
    <row r="248" ht="11.25" customHeight="1">
      <c r="A248" t="s">
        <v>14</v>
      </c>
      <c r="B248" t="s">
        <v>5668</v>
      </c>
      <c r="C248" t="s">
        <v>5669</v>
      </c>
      <c r="D248" t="s">
        <v>5683</v>
      </c>
      <c r="E248" t="s">
        <v>5684</v>
      </c>
      <c r="F248" t="s">
        <v>5017</v>
      </c>
      <c r="G248" t="s">
        <v>5685</v>
      </c>
    </row>
    <row r="249" ht="11.25" customHeight="1">
      <c r="A249" t="s">
        <v>14</v>
      </c>
      <c r="B249" t="s">
        <v>5668</v>
      </c>
      <c r="C249" t="s">
        <v>5669</v>
      </c>
      <c r="D249" t="s">
        <v>5103</v>
      </c>
      <c r="E249" t="s">
        <v>5686</v>
      </c>
      <c r="F249" t="s">
        <v>5023</v>
      </c>
      <c r="G249" t="s">
        <v>5687</v>
      </c>
    </row>
    <row r="250" ht="11.25" customHeight="1">
      <c r="A250" t="s">
        <v>14</v>
      </c>
      <c r="B250" t="s">
        <v>5668</v>
      </c>
      <c r="C250" t="s">
        <v>5669</v>
      </c>
      <c r="D250" t="s">
        <v>5688</v>
      </c>
      <c r="E250" t="s">
        <v>5689</v>
      </c>
      <c r="F250" t="s">
        <v>5023</v>
      </c>
      <c r="G250" t="s">
        <v>5690</v>
      </c>
    </row>
    <row r="251" ht="11.25" customHeight="1">
      <c r="A251" t="s">
        <v>14</v>
      </c>
      <c r="B251" t="s">
        <v>5668</v>
      </c>
      <c r="C251" t="s">
        <v>5669</v>
      </c>
      <c r="D251" t="s">
        <v>5691</v>
      </c>
      <c r="E251" t="s">
        <v>5692</v>
      </c>
      <c r="F251" t="s">
        <v>5023</v>
      </c>
      <c r="G251" t="s">
        <v>5693</v>
      </c>
    </row>
    <row r="252" ht="11.25" customHeight="1">
      <c r="A252" t="s">
        <v>14</v>
      </c>
      <c r="B252" t="s">
        <v>5668</v>
      </c>
      <c r="C252" t="s">
        <v>5669</v>
      </c>
      <c r="D252" t="s">
        <v>5694</v>
      </c>
      <c r="E252" t="s">
        <v>5695</v>
      </c>
      <c r="F252" t="s">
        <v>5023</v>
      </c>
      <c r="G252" t="s">
        <v>5696</v>
      </c>
    </row>
    <row r="253" ht="11.25" customHeight="1">
      <c r="A253" t="s">
        <v>14</v>
      </c>
      <c r="B253" t="s">
        <v>5697</v>
      </c>
      <c r="C253" t="s">
        <v>5698</v>
      </c>
      <c r="D253" t="s">
        <v>5699</v>
      </c>
      <c r="E253" t="s">
        <v>5700</v>
      </c>
      <c r="F253" t="s">
        <v>5023</v>
      </c>
      <c r="G253" t="s">
        <v>5701</v>
      </c>
    </row>
    <row r="254" ht="11.25" customHeight="1">
      <c r="A254" t="s">
        <v>14</v>
      </c>
      <c r="B254" t="s">
        <v>5697</v>
      </c>
      <c r="C254" t="s">
        <v>5698</v>
      </c>
      <c r="D254" t="s">
        <v>5513</v>
      </c>
      <c r="E254" t="s">
        <v>5702</v>
      </c>
      <c r="F254" t="s">
        <v>5023</v>
      </c>
      <c r="G254" t="s">
        <v>5703</v>
      </c>
    </row>
    <row r="255" ht="11.25" customHeight="1">
      <c r="A255" t="s">
        <v>14</v>
      </c>
      <c r="B255" t="s">
        <v>5697</v>
      </c>
      <c r="C255" t="s">
        <v>5698</v>
      </c>
      <c r="D255" t="s">
        <v>5704</v>
      </c>
      <c r="E255" t="s">
        <v>5705</v>
      </c>
      <c r="F255" t="s">
        <v>5023</v>
      </c>
      <c r="G255" t="s">
        <v>5706</v>
      </c>
    </row>
    <row r="256" ht="11.25" customHeight="1">
      <c r="A256" t="s">
        <v>14</v>
      </c>
      <c r="B256" t="s">
        <v>5697</v>
      </c>
      <c r="C256" t="s">
        <v>5698</v>
      </c>
      <c r="D256" t="s">
        <v>5040</v>
      </c>
      <c r="E256" t="s">
        <v>5707</v>
      </c>
      <c r="F256" t="s">
        <v>5023</v>
      </c>
      <c r="G256" t="s">
        <v>5708</v>
      </c>
    </row>
    <row r="257" ht="11.25" customHeight="1">
      <c r="A257" t="s">
        <v>14</v>
      </c>
      <c r="B257" t="s">
        <v>5697</v>
      </c>
      <c r="C257" t="s">
        <v>5698</v>
      </c>
      <c r="D257" t="s">
        <v>5709</v>
      </c>
      <c r="E257" t="s">
        <v>5710</v>
      </c>
      <c r="F257" t="s">
        <v>5023</v>
      </c>
      <c r="G257" t="s">
        <v>5711</v>
      </c>
    </row>
    <row r="258" ht="11.25" customHeight="1">
      <c r="A258" t="s">
        <v>14</v>
      </c>
      <c r="B258" t="s">
        <v>5697</v>
      </c>
      <c r="C258" t="s">
        <v>5698</v>
      </c>
      <c r="D258" t="s">
        <v>5712</v>
      </c>
      <c r="E258" t="s">
        <v>5713</v>
      </c>
      <c r="F258" t="s">
        <v>5023</v>
      </c>
      <c r="G258" t="s">
        <v>5714</v>
      </c>
    </row>
    <row r="259" ht="11.25" customHeight="1">
      <c r="A259" t="s">
        <v>14</v>
      </c>
      <c r="B259" t="s">
        <v>5697</v>
      </c>
      <c r="C259" t="s">
        <v>5698</v>
      </c>
      <c r="D259" t="s">
        <v>5697</v>
      </c>
      <c r="E259" t="s">
        <v>5698</v>
      </c>
      <c r="F259" t="s">
        <v>5014</v>
      </c>
      <c r="G259" t="s">
        <v>5715</v>
      </c>
    </row>
    <row r="260" ht="11.25" customHeight="1">
      <c r="A260" t="s">
        <v>14</v>
      </c>
      <c r="B260" t="s">
        <v>5697</v>
      </c>
      <c r="C260" t="s">
        <v>5698</v>
      </c>
      <c r="D260" t="s">
        <v>5716</v>
      </c>
      <c r="E260" t="s">
        <v>5717</v>
      </c>
      <c r="F260" t="s">
        <v>5023</v>
      </c>
      <c r="G260" t="s">
        <v>5718</v>
      </c>
    </row>
    <row r="261" ht="11.25" customHeight="1">
      <c r="A261" t="s">
        <v>14</v>
      </c>
      <c r="B261" t="s">
        <v>5697</v>
      </c>
      <c r="C261" t="s">
        <v>5698</v>
      </c>
      <c r="D261" t="s">
        <v>5719</v>
      </c>
      <c r="E261" t="s">
        <v>5720</v>
      </c>
      <c r="F261" t="s">
        <v>5023</v>
      </c>
      <c r="G261" t="s">
        <v>5721</v>
      </c>
    </row>
    <row r="262" ht="11.25" customHeight="1">
      <c r="A262" t="s">
        <v>14</v>
      </c>
      <c r="B262" t="s">
        <v>5722</v>
      </c>
      <c r="C262" t="s">
        <v>5723</v>
      </c>
      <c r="D262" t="s">
        <v>5724</v>
      </c>
      <c r="E262" t="s">
        <v>5725</v>
      </c>
      <c r="F262" t="s">
        <v>5023</v>
      </c>
      <c r="G262" t="s">
        <v>5726</v>
      </c>
    </row>
    <row r="263" ht="11.25" customHeight="1">
      <c r="A263" t="s">
        <v>14</v>
      </c>
      <c r="B263" t="s">
        <v>5722</v>
      </c>
      <c r="C263" t="s">
        <v>5723</v>
      </c>
      <c r="D263" t="s">
        <v>5727</v>
      </c>
      <c r="E263" t="s">
        <v>5728</v>
      </c>
      <c r="F263" t="s">
        <v>5023</v>
      </c>
      <c r="G263" t="s">
        <v>5729</v>
      </c>
    </row>
    <row r="264" ht="11.25" customHeight="1">
      <c r="A264" t="s">
        <v>14</v>
      </c>
      <c r="B264" t="s">
        <v>5722</v>
      </c>
      <c r="C264" t="s">
        <v>5723</v>
      </c>
      <c r="D264" t="s">
        <v>5331</v>
      </c>
      <c r="E264" t="s">
        <v>5730</v>
      </c>
      <c r="F264" t="s">
        <v>5023</v>
      </c>
      <c r="G264" t="s">
        <v>5731</v>
      </c>
    </row>
    <row r="265" ht="11.25" customHeight="1">
      <c r="A265" t="s">
        <v>14</v>
      </c>
      <c r="B265" t="s">
        <v>5722</v>
      </c>
      <c r="C265" t="s">
        <v>5723</v>
      </c>
      <c r="D265" t="s">
        <v>5732</v>
      </c>
      <c r="E265" t="s">
        <v>5733</v>
      </c>
      <c r="F265" t="s">
        <v>5023</v>
      </c>
      <c r="G265" t="s">
        <v>5734</v>
      </c>
    </row>
    <row r="266" ht="11.25" customHeight="1">
      <c r="A266" t="s">
        <v>14</v>
      </c>
      <c r="B266" t="s">
        <v>5722</v>
      </c>
      <c r="C266" t="s">
        <v>5723</v>
      </c>
      <c r="D266" t="s">
        <v>5735</v>
      </c>
      <c r="E266" t="s">
        <v>5736</v>
      </c>
      <c r="F266" t="s">
        <v>5023</v>
      </c>
      <c r="G266" t="s">
        <v>5737</v>
      </c>
    </row>
    <row r="267" ht="11.25" customHeight="1">
      <c r="A267" t="s">
        <v>14</v>
      </c>
      <c r="B267" t="s">
        <v>5722</v>
      </c>
      <c r="C267" t="s">
        <v>5723</v>
      </c>
      <c r="D267" t="s">
        <v>5738</v>
      </c>
      <c r="E267" t="s">
        <v>5739</v>
      </c>
      <c r="F267" t="s">
        <v>5023</v>
      </c>
      <c r="G267" t="s">
        <v>5740</v>
      </c>
    </row>
    <row r="268" ht="11.25" customHeight="1">
      <c r="A268" t="s">
        <v>14</v>
      </c>
      <c r="B268" t="s">
        <v>5722</v>
      </c>
      <c r="C268" t="s">
        <v>5723</v>
      </c>
      <c r="D268" t="s">
        <v>5722</v>
      </c>
      <c r="E268" t="s">
        <v>5723</v>
      </c>
      <c r="F268" t="s">
        <v>5014</v>
      </c>
      <c r="G268" t="s">
        <v>5741</v>
      </c>
    </row>
    <row r="269" ht="11.25" customHeight="1">
      <c r="A269" t="s">
        <v>14</v>
      </c>
      <c r="B269" t="s">
        <v>5722</v>
      </c>
      <c r="C269" t="s">
        <v>5723</v>
      </c>
      <c r="D269" t="s">
        <v>5742</v>
      </c>
      <c r="E269" t="s">
        <v>5743</v>
      </c>
      <c r="F269" t="s">
        <v>5023</v>
      </c>
      <c r="G269" t="s">
        <v>5744</v>
      </c>
    </row>
    <row r="270" ht="11.25" customHeight="1">
      <c r="A270" t="s">
        <v>14</v>
      </c>
      <c r="B270" t="s">
        <v>5722</v>
      </c>
      <c r="C270" t="s">
        <v>5723</v>
      </c>
      <c r="D270" t="s">
        <v>5745</v>
      </c>
      <c r="E270" t="s">
        <v>5746</v>
      </c>
      <c r="F270" t="s">
        <v>5023</v>
      </c>
      <c r="G270" t="s">
        <v>5747</v>
      </c>
    </row>
    <row r="271" ht="11.25" customHeight="1">
      <c r="A271" t="s">
        <v>14</v>
      </c>
      <c r="B271" t="s">
        <v>5722</v>
      </c>
      <c r="C271" t="s">
        <v>5723</v>
      </c>
      <c r="D271" t="s">
        <v>5748</v>
      </c>
      <c r="E271" t="s">
        <v>5749</v>
      </c>
      <c r="F271" t="s">
        <v>5023</v>
      </c>
      <c r="G271" t="s">
        <v>5750</v>
      </c>
    </row>
    <row r="272" ht="11.25" customHeight="1">
      <c r="A272" t="s">
        <v>14</v>
      </c>
      <c r="B272" t="s">
        <v>5722</v>
      </c>
      <c r="C272" t="s">
        <v>5723</v>
      </c>
      <c r="D272" t="s">
        <v>5751</v>
      </c>
      <c r="E272" t="s">
        <v>5752</v>
      </c>
      <c r="F272" t="s">
        <v>5023</v>
      </c>
      <c r="G272" t="s">
        <v>5753</v>
      </c>
    </row>
    <row r="273" ht="11.25" customHeight="1">
      <c r="A273" t="s">
        <v>14</v>
      </c>
      <c r="B273" t="s">
        <v>5722</v>
      </c>
      <c r="C273" t="s">
        <v>5723</v>
      </c>
      <c r="D273" t="s">
        <v>5754</v>
      </c>
      <c r="E273" t="s">
        <v>5755</v>
      </c>
      <c r="F273" t="s">
        <v>5023</v>
      </c>
      <c r="G273" t="s">
        <v>5756</v>
      </c>
    </row>
    <row r="274" ht="11.25" customHeight="1">
      <c r="A274" t="s">
        <v>14</v>
      </c>
      <c r="B274" t="s">
        <v>5722</v>
      </c>
      <c r="C274" t="s">
        <v>5723</v>
      </c>
      <c r="D274" t="s">
        <v>5757</v>
      </c>
      <c r="E274" t="s">
        <v>5758</v>
      </c>
      <c r="F274" t="s">
        <v>5023</v>
      </c>
      <c r="G274" t="s">
        <v>5759</v>
      </c>
    </row>
    <row r="275" ht="11.25" customHeight="1">
      <c r="A275" t="s">
        <v>14</v>
      </c>
      <c r="B275" t="s">
        <v>5722</v>
      </c>
      <c r="C275" t="s">
        <v>5723</v>
      </c>
      <c r="D275" t="s">
        <v>5760</v>
      </c>
      <c r="E275" t="s">
        <v>5761</v>
      </c>
      <c r="F275" t="s">
        <v>5023</v>
      </c>
      <c r="G275" t="s">
        <v>5762</v>
      </c>
    </row>
    <row r="276" ht="11.25" customHeight="1">
      <c r="A276" t="s">
        <v>14</v>
      </c>
      <c r="B276" t="s">
        <v>5722</v>
      </c>
      <c r="C276" t="s">
        <v>5723</v>
      </c>
      <c r="D276" t="s">
        <v>5763</v>
      </c>
      <c r="E276" t="s">
        <v>5764</v>
      </c>
      <c r="F276" t="s">
        <v>5023</v>
      </c>
      <c r="G276" t="s">
        <v>5765</v>
      </c>
    </row>
    <row r="277" ht="11.25" customHeight="1">
      <c r="A277" t="s">
        <v>14</v>
      </c>
      <c r="B277" t="s">
        <v>5766</v>
      </c>
      <c r="C277" t="s">
        <v>5767</v>
      </c>
      <c r="D277" t="s">
        <v>5768</v>
      </c>
      <c r="E277" t="s">
        <v>5769</v>
      </c>
      <c r="F277" t="s">
        <v>5023</v>
      </c>
      <c r="G277" t="s">
        <v>5770</v>
      </c>
    </row>
    <row r="278" ht="11.25" customHeight="1">
      <c r="A278" t="s">
        <v>14</v>
      </c>
      <c r="B278" t="s">
        <v>5766</v>
      </c>
      <c r="C278" t="s">
        <v>5767</v>
      </c>
      <c r="D278" t="s">
        <v>5771</v>
      </c>
      <c r="E278" t="s">
        <v>5772</v>
      </c>
      <c r="F278" t="s">
        <v>5023</v>
      </c>
      <c r="G278" t="s">
        <v>5773</v>
      </c>
    </row>
    <row r="279" ht="11.25" customHeight="1">
      <c r="A279" t="s">
        <v>14</v>
      </c>
      <c r="B279" t="s">
        <v>5766</v>
      </c>
      <c r="C279" t="s">
        <v>5767</v>
      </c>
      <c r="D279" t="s">
        <v>5709</v>
      </c>
      <c r="E279" t="s">
        <v>5774</v>
      </c>
      <c r="F279" t="s">
        <v>5023</v>
      </c>
      <c r="G279" t="s">
        <v>5775</v>
      </c>
    </row>
    <row r="280" ht="11.25" customHeight="1">
      <c r="A280" t="s">
        <v>14</v>
      </c>
      <c r="B280" t="s">
        <v>5766</v>
      </c>
      <c r="C280" t="s">
        <v>5767</v>
      </c>
      <c r="D280" t="s">
        <v>5776</v>
      </c>
      <c r="E280" t="s">
        <v>5777</v>
      </c>
      <c r="F280" t="s">
        <v>5023</v>
      </c>
      <c r="G280" t="s">
        <v>5778</v>
      </c>
    </row>
    <row r="281" ht="11.25" customHeight="1">
      <c r="A281" t="s">
        <v>14</v>
      </c>
      <c r="B281" t="s">
        <v>5766</v>
      </c>
      <c r="C281" t="s">
        <v>5767</v>
      </c>
      <c r="D281" t="s">
        <v>5779</v>
      </c>
      <c r="E281" t="s">
        <v>5780</v>
      </c>
      <c r="F281" t="s">
        <v>5023</v>
      </c>
      <c r="G281" t="s">
        <v>5781</v>
      </c>
    </row>
    <row r="282" ht="11.25" customHeight="1">
      <c r="A282" t="s">
        <v>14</v>
      </c>
      <c r="B282" t="s">
        <v>5766</v>
      </c>
      <c r="C282" t="s">
        <v>5767</v>
      </c>
      <c r="D282" t="s">
        <v>5782</v>
      </c>
      <c r="E282" t="s">
        <v>5783</v>
      </c>
      <c r="F282" t="s">
        <v>5023</v>
      </c>
      <c r="G282" t="s">
        <v>5784</v>
      </c>
    </row>
    <row r="283" ht="11.25" customHeight="1">
      <c r="A283" t="s">
        <v>14</v>
      </c>
      <c r="B283" t="s">
        <v>5766</v>
      </c>
      <c r="C283" t="s">
        <v>5767</v>
      </c>
      <c r="D283" t="s">
        <v>5766</v>
      </c>
      <c r="E283" t="s">
        <v>5767</v>
      </c>
      <c r="F283" t="s">
        <v>5014</v>
      </c>
      <c r="G283" t="s">
        <v>5785</v>
      </c>
    </row>
    <row r="284" ht="11.25" customHeight="1">
      <c r="A284" t="s">
        <v>14</v>
      </c>
      <c r="B284" t="s">
        <v>5766</v>
      </c>
      <c r="C284" t="s">
        <v>5767</v>
      </c>
      <c r="D284" t="s">
        <v>5786</v>
      </c>
      <c r="E284" t="s">
        <v>5787</v>
      </c>
      <c r="F284" t="s">
        <v>5023</v>
      </c>
      <c r="G284" t="s">
        <v>5788</v>
      </c>
    </row>
    <row r="285" ht="11.25" customHeight="1">
      <c r="A285" t="s">
        <v>14</v>
      </c>
      <c r="B285" t="s">
        <v>5766</v>
      </c>
      <c r="C285" t="s">
        <v>5767</v>
      </c>
      <c r="D285" t="s">
        <v>5789</v>
      </c>
      <c r="E285" t="s">
        <v>5790</v>
      </c>
      <c r="F285" t="s">
        <v>5023</v>
      </c>
      <c r="G285" t="s">
        <v>5791</v>
      </c>
    </row>
    <row r="286" ht="11.25" customHeight="1">
      <c r="A286" t="s">
        <v>14</v>
      </c>
      <c r="B286" t="s">
        <v>5766</v>
      </c>
      <c r="C286" t="s">
        <v>5767</v>
      </c>
      <c r="D286" t="s">
        <v>5792</v>
      </c>
      <c r="E286" t="s">
        <v>5793</v>
      </c>
      <c r="F286" t="s">
        <v>5023</v>
      </c>
      <c r="G286" t="s">
        <v>5794</v>
      </c>
    </row>
    <row r="287" ht="11.25" customHeight="1">
      <c r="A287" t="s">
        <v>14</v>
      </c>
      <c r="B287" t="s">
        <v>5766</v>
      </c>
      <c r="C287" t="s">
        <v>5767</v>
      </c>
      <c r="D287" t="s">
        <v>5795</v>
      </c>
      <c r="E287" t="s">
        <v>5796</v>
      </c>
      <c r="F287" t="s">
        <v>5023</v>
      </c>
      <c r="G287" t="s">
        <v>5797</v>
      </c>
    </row>
    <row r="288" ht="11.25" customHeight="1">
      <c r="A288" t="s">
        <v>14</v>
      </c>
      <c r="B288" t="s">
        <v>5766</v>
      </c>
      <c r="C288" t="s">
        <v>5767</v>
      </c>
      <c r="D288" t="s">
        <v>5577</v>
      </c>
      <c r="E288" t="s">
        <v>5798</v>
      </c>
      <c r="F288" t="s">
        <v>5023</v>
      </c>
      <c r="G288" t="s">
        <v>5799</v>
      </c>
    </row>
    <row r="289" ht="11.25" customHeight="1">
      <c r="A289" t="s">
        <v>14</v>
      </c>
      <c r="B289" t="s">
        <v>5800</v>
      </c>
      <c r="C289" t="s">
        <v>5801</v>
      </c>
      <c r="D289" t="s">
        <v>5802</v>
      </c>
      <c r="E289" t="s">
        <v>5803</v>
      </c>
      <c r="F289" t="s">
        <v>5023</v>
      </c>
      <c r="G289" t="s">
        <v>5804</v>
      </c>
    </row>
    <row r="290" ht="11.25" customHeight="1">
      <c r="A290" t="s">
        <v>14</v>
      </c>
      <c r="B290" t="s">
        <v>5800</v>
      </c>
      <c r="C290" t="s">
        <v>5801</v>
      </c>
      <c r="D290" t="s">
        <v>5805</v>
      </c>
      <c r="E290" t="s">
        <v>5806</v>
      </c>
      <c r="F290" t="s">
        <v>5023</v>
      </c>
      <c r="G290" t="s">
        <v>5807</v>
      </c>
    </row>
    <row r="291" ht="11.25" customHeight="1">
      <c r="A291" t="s">
        <v>14</v>
      </c>
      <c r="B291" t="s">
        <v>5800</v>
      </c>
      <c r="C291" t="s">
        <v>5801</v>
      </c>
      <c r="D291" t="s">
        <v>5808</v>
      </c>
      <c r="E291" t="s">
        <v>5809</v>
      </c>
      <c r="F291" t="s">
        <v>5023</v>
      </c>
      <c r="G291" t="s">
        <v>5810</v>
      </c>
    </row>
    <row r="292" ht="11.25" customHeight="1">
      <c r="A292" t="s">
        <v>14</v>
      </c>
      <c r="B292" t="s">
        <v>5800</v>
      </c>
      <c r="C292" t="s">
        <v>5801</v>
      </c>
      <c r="D292" t="s">
        <v>5716</v>
      </c>
      <c r="E292" t="s">
        <v>5811</v>
      </c>
      <c r="F292" t="s">
        <v>5023</v>
      </c>
      <c r="G292" t="s">
        <v>5812</v>
      </c>
    </row>
    <row r="293" ht="11.25" customHeight="1">
      <c r="A293" t="s">
        <v>14</v>
      </c>
      <c r="B293" t="s">
        <v>5800</v>
      </c>
      <c r="C293" t="s">
        <v>5801</v>
      </c>
      <c r="D293" t="s">
        <v>5026</v>
      </c>
      <c r="E293" t="s">
        <v>5813</v>
      </c>
      <c r="F293" t="s">
        <v>5023</v>
      </c>
      <c r="G293" t="s">
        <v>5814</v>
      </c>
    </row>
    <row r="294" ht="11.25" customHeight="1">
      <c r="A294" t="s">
        <v>14</v>
      </c>
      <c r="B294" t="s">
        <v>5800</v>
      </c>
      <c r="C294" t="s">
        <v>5801</v>
      </c>
      <c r="D294" t="s">
        <v>5815</v>
      </c>
      <c r="E294" t="s">
        <v>5816</v>
      </c>
      <c r="F294" t="s">
        <v>5023</v>
      </c>
      <c r="G294" t="s">
        <v>5817</v>
      </c>
    </row>
    <row r="295" ht="11.25" customHeight="1">
      <c r="A295" t="s">
        <v>14</v>
      </c>
      <c r="B295" t="s">
        <v>5800</v>
      </c>
      <c r="C295" t="s">
        <v>5801</v>
      </c>
      <c r="D295" t="s">
        <v>5800</v>
      </c>
      <c r="E295" t="s">
        <v>5801</v>
      </c>
      <c r="F295" t="s">
        <v>5014</v>
      </c>
      <c r="G295" t="s">
        <v>5818</v>
      </c>
    </row>
    <row r="296" ht="11.25" customHeight="1">
      <c r="A296" t="s">
        <v>14</v>
      </c>
      <c r="B296" t="s">
        <v>5800</v>
      </c>
      <c r="C296" t="s">
        <v>5801</v>
      </c>
      <c r="D296" t="s">
        <v>5819</v>
      </c>
      <c r="E296" t="s">
        <v>5820</v>
      </c>
      <c r="F296" t="s">
        <v>5017</v>
      </c>
      <c r="G296" t="s">
        <v>5821</v>
      </c>
    </row>
    <row r="297" ht="11.25" customHeight="1">
      <c r="A297" t="s">
        <v>14</v>
      </c>
      <c r="B297" t="s">
        <v>5800</v>
      </c>
      <c r="C297" t="s">
        <v>5801</v>
      </c>
      <c r="D297" t="s">
        <v>5822</v>
      </c>
      <c r="E297" t="s">
        <v>5823</v>
      </c>
      <c r="F297" t="s">
        <v>5023</v>
      </c>
      <c r="G297" t="s">
        <v>5824</v>
      </c>
    </row>
    <row r="298" ht="11.25" customHeight="1">
      <c r="A298" t="s">
        <v>14</v>
      </c>
      <c r="B298" t="s">
        <v>5800</v>
      </c>
      <c r="C298" t="s">
        <v>5801</v>
      </c>
      <c r="D298" t="s">
        <v>5825</v>
      </c>
      <c r="E298" t="s">
        <v>5826</v>
      </c>
      <c r="F298" t="s">
        <v>5023</v>
      </c>
      <c r="G298" t="s">
        <v>5827</v>
      </c>
    </row>
    <row r="299" ht="11.25" customHeight="1">
      <c r="A299" t="s">
        <v>14</v>
      </c>
      <c r="B299" t="s">
        <v>5828</v>
      </c>
      <c r="C299" t="s">
        <v>5829</v>
      </c>
      <c r="D299" t="s">
        <v>5830</v>
      </c>
      <c r="E299" t="s">
        <v>5831</v>
      </c>
      <c r="F299" t="s">
        <v>5023</v>
      </c>
      <c r="G299" t="s">
        <v>5832</v>
      </c>
    </row>
    <row r="300" ht="11.25" customHeight="1">
      <c r="A300" t="s">
        <v>14</v>
      </c>
      <c r="B300" t="s">
        <v>5828</v>
      </c>
      <c r="C300" t="s">
        <v>5829</v>
      </c>
      <c r="D300" t="s">
        <v>5833</v>
      </c>
      <c r="E300" t="s">
        <v>5834</v>
      </c>
      <c r="F300" t="s">
        <v>5020</v>
      </c>
      <c r="G300" t="s">
        <v>5835</v>
      </c>
    </row>
    <row r="301" ht="11.25" customHeight="1">
      <c r="A301" t="s">
        <v>14</v>
      </c>
      <c r="B301" t="s">
        <v>5828</v>
      </c>
      <c r="C301" t="s">
        <v>5829</v>
      </c>
      <c r="D301" t="s">
        <v>5836</v>
      </c>
      <c r="E301" t="s">
        <v>5837</v>
      </c>
      <c r="F301" t="s">
        <v>5023</v>
      </c>
      <c r="G301" t="s">
        <v>5838</v>
      </c>
    </row>
    <row r="302" ht="11.25" customHeight="1">
      <c r="A302" t="s">
        <v>14</v>
      </c>
      <c r="B302" t="s">
        <v>5828</v>
      </c>
      <c r="C302" t="s">
        <v>5829</v>
      </c>
      <c r="D302" t="s">
        <v>5839</v>
      </c>
      <c r="E302" t="s">
        <v>5840</v>
      </c>
      <c r="F302" t="s">
        <v>5020</v>
      </c>
      <c r="G302" t="s">
        <v>5841</v>
      </c>
    </row>
    <row r="303" ht="11.25" customHeight="1">
      <c r="A303" t="s">
        <v>14</v>
      </c>
      <c r="B303" t="s">
        <v>5828</v>
      </c>
      <c r="C303" t="s">
        <v>5829</v>
      </c>
      <c r="D303" t="s">
        <v>5842</v>
      </c>
      <c r="E303" t="s">
        <v>5843</v>
      </c>
      <c r="F303" t="s">
        <v>5023</v>
      </c>
      <c r="G303" t="s">
        <v>5844</v>
      </c>
    </row>
    <row r="304" ht="11.25" customHeight="1">
      <c r="A304" t="s">
        <v>14</v>
      </c>
      <c r="B304" t="s">
        <v>5828</v>
      </c>
      <c r="C304" t="s">
        <v>5829</v>
      </c>
      <c r="D304" t="s">
        <v>5845</v>
      </c>
      <c r="E304" t="s">
        <v>5846</v>
      </c>
      <c r="F304" t="s">
        <v>5023</v>
      </c>
      <c r="G304" t="s">
        <v>5847</v>
      </c>
    </row>
    <row r="305" ht="11.25" customHeight="1">
      <c r="A305" t="s">
        <v>14</v>
      </c>
      <c r="B305" t="s">
        <v>5828</v>
      </c>
      <c r="C305" t="s">
        <v>5829</v>
      </c>
      <c r="D305" t="s">
        <v>5492</v>
      </c>
      <c r="E305" t="s">
        <v>5848</v>
      </c>
      <c r="F305" t="s">
        <v>5023</v>
      </c>
      <c r="G305" t="s">
        <v>5849</v>
      </c>
    </row>
    <row r="306" ht="11.25" customHeight="1">
      <c r="A306" t="s">
        <v>14</v>
      </c>
      <c r="B306" t="s">
        <v>5828</v>
      </c>
      <c r="C306" t="s">
        <v>5829</v>
      </c>
      <c r="D306" t="s">
        <v>5850</v>
      </c>
      <c r="E306" t="s">
        <v>5851</v>
      </c>
      <c r="F306" t="s">
        <v>5023</v>
      </c>
      <c r="G306" t="s">
        <v>5852</v>
      </c>
    </row>
    <row r="307" ht="11.25" customHeight="1">
      <c r="A307" t="s">
        <v>14</v>
      </c>
      <c r="B307" t="s">
        <v>5828</v>
      </c>
      <c r="C307" t="s">
        <v>5829</v>
      </c>
      <c r="D307" t="s">
        <v>5828</v>
      </c>
      <c r="E307" t="s">
        <v>5829</v>
      </c>
      <c r="F307" t="s">
        <v>5014</v>
      </c>
      <c r="G307" t="s">
        <v>5853</v>
      </c>
    </row>
    <row r="308" ht="11.25" customHeight="1">
      <c r="A308" t="s">
        <v>14</v>
      </c>
      <c r="B308" t="s">
        <v>5828</v>
      </c>
      <c r="C308" t="s">
        <v>5829</v>
      </c>
      <c r="D308" t="s">
        <v>5854</v>
      </c>
      <c r="E308" t="s">
        <v>5855</v>
      </c>
      <c r="F308" t="s">
        <v>5023</v>
      </c>
      <c r="G308" t="s">
        <v>5856</v>
      </c>
    </row>
    <row r="309" ht="11.25" customHeight="1">
      <c r="A309" t="s">
        <v>14</v>
      </c>
      <c r="B309" t="s">
        <v>5828</v>
      </c>
      <c r="C309" t="s">
        <v>5829</v>
      </c>
      <c r="D309" t="s">
        <v>5857</v>
      </c>
      <c r="E309" t="s">
        <v>5858</v>
      </c>
      <c r="F309" t="s">
        <v>5023</v>
      </c>
      <c r="G309" t="s">
        <v>5859</v>
      </c>
    </row>
    <row r="310" ht="11.25" customHeight="1">
      <c r="A310" t="s">
        <v>14</v>
      </c>
      <c r="B310" t="s">
        <v>5828</v>
      </c>
      <c r="C310" t="s">
        <v>5829</v>
      </c>
      <c r="D310" t="s">
        <v>5860</v>
      </c>
      <c r="E310" t="s">
        <v>5861</v>
      </c>
      <c r="F310" t="s">
        <v>5020</v>
      </c>
      <c r="G310" t="s">
        <v>5862</v>
      </c>
    </row>
    <row r="311" ht="11.25" customHeight="1">
      <c r="A311" t="s">
        <v>14</v>
      </c>
      <c r="B311" t="s">
        <v>5828</v>
      </c>
      <c r="C311" t="s">
        <v>5829</v>
      </c>
      <c r="D311" t="s">
        <v>5863</v>
      </c>
      <c r="E311" t="s">
        <v>5864</v>
      </c>
      <c r="F311" t="s">
        <v>5023</v>
      </c>
      <c r="G311" t="s">
        <v>5865</v>
      </c>
    </row>
    <row r="312" ht="11.25" customHeight="1">
      <c r="A312" t="s">
        <v>14</v>
      </c>
      <c r="B312" t="s">
        <v>102</v>
      </c>
      <c r="C312" t="s">
        <v>103</v>
      </c>
      <c r="D312" t="s">
        <v>102</v>
      </c>
      <c r="E312" t="s">
        <v>103</v>
      </c>
      <c r="F312" t="s">
        <v>5135</v>
      </c>
      <c r="G312" t="s">
        <v>101</v>
      </c>
    </row>
    <row r="313" ht="11.25" customHeight="1">
      <c r="A313" t="s">
        <v>14</v>
      </c>
      <c r="B313" t="s">
        <v>5866</v>
      </c>
      <c r="C313" t="s">
        <v>5867</v>
      </c>
      <c r="D313" t="s">
        <v>5868</v>
      </c>
      <c r="E313" t="s">
        <v>5869</v>
      </c>
      <c r="F313" t="s">
        <v>5023</v>
      </c>
      <c r="G313" t="s">
        <v>5870</v>
      </c>
    </row>
    <row r="314" ht="11.25" customHeight="1">
      <c r="A314" t="s">
        <v>14</v>
      </c>
      <c r="B314" t="s">
        <v>5866</v>
      </c>
      <c r="C314" t="s">
        <v>5867</v>
      </c>
      <c r="D314" t="s">
        <v>5871</v>
      </c>
      <c r="E314" t="s">
        <v>5872</v>
      </c>
      <c r="F314" t="s">
        <v>5023</v>
      </c>
      <c r="G314" t="s">
        <v>5873</v>
      </c>
    </row>
    <row r="315" ht="11.25" customHeight="1">
      <c r="A315" t="s">
        <v>14</v>
      </c>
      <c r="B315" t="s">
        <v>5866</v>
      </c>
      <c r="C315" t="s">
        <v>5867</v>
      </c>
      <c r="D315" t="s">
        <v>5874</v>
      </c>
      <c r="E315" t="s">
        <v>5875</v>
      </c>
      <c r="F315" t="s">
        <v>5023</v>
      </c>
      <c r="G315" t="s">
        <v>5876</v>
      </c>
    </row>
    <row r="316" ht="11.25" customHeight="1">
      <c r="A316" t="s">
        <v>14</v>
      </c>
      <c r="B316" t="s">
        <v>5866</v>
      </c>
      <c r="C316" t="s">
        <v>5867</v>
      </c>
      <c r="D316" t="s">
        <v>5877</v>
      </c>
      <c r="E316" t="s">
        <v>5878</v>
      </c>
      <c r="F316" t="s">
        <v>5023</v>
      </c>
      <c r="G316" t="s">
        <v>5879</v>
      </c>
    </row>
    <row r="317" ht="11.25" customHeight="1">
      <c r="A317" t="s">
        <v>14</v>
      </c>
      <c r="B317" t="s">
        <v>5866</v>
      </c>
      <c r="C317" t="s">
        <v>5867</v>
      </c>
      <c r="D317" t="s">
        <v>5880</v>
      </c>
      <c r="E317" t="s">
        <v>5881</v>
      </c>
      <c r="F317" t="s">
        <v>5023</v>
      </c>
      <c r="G317" t="s">
        <v>5882</v>
      </c>
    </row>
    <row r="318" ht="11.25" customHeight="1">
      <c r="A318" t="s">
        <v>14</v>
      </c>
      <c r="B318" t="s">
        <v>5866</v>
      </c>
      <c r="C318" t="s">
        <v>5867</v>
      </c>
      <c r="D318" t="s">
        <v>5883</v>
      </c>
      <c r="E318" t="s">
        <v>5884</v>
      </c>
      <c r="F318" t="s">
        <v>5023</v>
      </c>
      <c r="G318" t="s">
        <v>5885</v>
      </c>
    </row>
    <row r="319" ht="11.25" customHeight="1">
      <c r="A319" t="s">
        <v>14</v>
      </c>
      <c r="B319" t="s">
        <v>5866</v>
      </c>
      <c r="C319" t="s">
        <v>5867</v>
      </c>
      <c r="D319" t="s">
        <v>5886</v>
      </c>
      <c r="E319" t="s">
        <v>5887</v>
      </c>
      <c r="F319" t="s">
        <v>5023</v>
      </c>
      <c r="G319" t="s">
        <v>5888</v>
      </c>
    </row>
    <row r="320" ht="11.25" customHeight="1">
      <c r="A320" t="s">
        <v>14</v>
      </c>
      <c r="B320" t="s">
        <v>5866</v>
      </c>
      <c r="C320" t="s">
        <v>5867</v>
      </c>
      <c r="D320" t="s">
        <v>5889</v>
      </c>
      <c r="E320" t="s">
        <v>5890</v>
      </c>
      <c r="F320" t="s">
        <v>5023</v>
      </c>
      <c r="G320" t="s">
        <v>5891</v>
      </c>
    </row>
    <row r="321" ht="11.25" customHeight="1">
      <c r="A321" t="s">
        <v>14</v>
      </c>
      <c r="B321" t="s">
        <v>5866</v>
      </c>
      <c r="C321" t="s">
        <v>5867</v>
      </c>
      <c r="D321" t="s">
        <v>5892</v>
      </c>
      <c r="E321" t="s">
        <v>5893</v>
      </c>
      <c r="F321" t="s">
        <v>5023</v>
      </c>
      <c r="G321" t="s">
        <v>5894</v>
      </c>
    </row>
    <row r="322" ht="11.25" customHeight="1">
      <c r="A322" t="s">
        <v>14</v>
      </c>
      <c r="B322" t="s">
        <v>5866</v>
      </c>
      <c r="C322" t="s">
        <v>5867</v>
      </c>
      <c r="D322" t="s">
        <v>5688</v>
      </c>
      <c r="E322" t="s">
        <v>5895</v>
      </c>
      <c r="F322" t="s">
        <v>5023</v>
      </c>
      <c r="G322" t="s">
        <v>5896</v>
      </c>
    </row>
    <row r="323" ht="11.25" customHeight="1">
      <c r="A323" t="s">
        <v>14</v>
      </c>
      <c r="B323" t="s">
        <v>5866</v>
      </c>
      <c r="C323" t="s">
        <v>5867</v>
      </c>
      <c r="D323" t="s">
        <v>5897</v>
      </c>
      <c r="E323" t="s">
        <v>5898</v>
      </c>
      <c r="F323" t="s">
        <v>5023</v>
      </c>
      <c r="G323" t="s">
        <v>5899</v>
      </c>
    </row>
    <row r="324" ht="11.25" customHeight="1">
      <c r="A324" t="s">
        <v>14</v>
      </c>
      <c r="B324" t="s">
        <v>5866</v>
      </c>
      <c r="C324" t="s">
        <v>5867</v>
      </c>
      <c r="D324" t="s">
        <v>5900</v>
      </c>
      <c r="E324" t="s">
        <v>5901</v>
      </c>
      <c r="F324" t="s">
        <v>5023</v>
      </c>
      <c r="G324" t="s">
        <v>5902</v>
      </c>
    </row>
    <row r="325" ht="11.25" customHeight="1">
      <c r="A325" t="s">
        <v>14</v>
      </c>
      <c r="B325" t="s">
        <v>5866</v>
      </c>
      <c r="C325" t="s">
        <v>5867</v>
      </c>
      <c r="D325" t="s">
        <v>5866</v>
      </c>
      <c r="E325" t="s">
        <v>5867</v>
      </c>
      <c r="F325" t="s">
        <v>5014</v>
      </c>
      <c r="G325" t="s">
        <v>5903</v>
      </c>
    </row>
    <row r="326" ht="11.25" customHeight="1">
      <c r="A326" t="s">
        <v>14</v>
      </c>
      <c r="B326" t="s">
        <v>5866</v>
      </c>
      <c r="C326" t="s">
        <v>5867</v>
      </c>
      <c r="D326" t="s">
        <v>5904</v>
      </c>
      <c r="E326" t="s">
        <v>5905</v>
      </c>
      <c r="F326" t="s">
        <v>5017</v>
      </c>
      <c r="G326" t="s">
        <v>5906</v>
      </c>
    </row>
    <row r="327" ht="11.25" customHeight="1">
      <c r="A327" t="s">
        <v>14</v>
      </c>
      <c r="B327" t="s">
        <v>5866</v>
      </c>
      <c r="C327" t="s">
        <v>5867</v>
      </c>
      <c r="D327" t="s">
        <v>5907</v>
      </c>
      <c r="E327" t="s">
        <v>5908</v>
      </c>
      <c r="F327" t="s">
        <v>5023</v>
      </c>
      <c r="G327" t="s">
        <v>5909</v>
      </c>
    </row>
    <row r="328" ht="11.25" customHeight="1">
      <c r="A328" t="s">
        <v>14</v>
      </c>
      <c r="B328" t="s">
        <v>5866</v>
      </c>
      <c r="C328" t="s">
        <v>5867</v>
      </c>
      <c r="D328" t="s">
        <v>5910</v>
      </c>
      <c r="E328" t="s">
        <v>5911</v>
      </c>
      <c r="F328" t="s">
        <v>5023</v>
      </c>
      <c r="G328" t="s">
        <v>5912</v>
      </c>
    </row>
    <row r="329" ht="11.25" customHeight="1">
      <c r="A329" t="s">
        <v>14</v>
      </c>
      <c r="B329" t="s">
        <v>5913</v>
      </c>
      <c r="C329" t="s">
        <v>5914</v>
      </c>
      <c r="D329" t="s">
        <v>5915</v>
      </c>
      <c r="E329" t="s">
        <v>5916</v>
      </c>
      <c r="F329" t="s">
        <v>5023</v>
      </c>
      <c r="G329" t="s">
        <v>5917</v>
      </c>
    </row>
    <row r="330" ht="11.25" customHeight="1">
      <c r="A330" t="s">
        <v>14</v>
      </c>
      <c r="B330" t="s">
        <v>5913</v>
      </c>
      <c r="C330" t="s">
        <v>5914</v>
      </c>
      <c r="D330" t="s">
        <v>5316</v>
      </c>
      <c r="E330" t="s">
        <v>5918</v>
      </c>
      <c r="F330" t="s">
        <v>5023</v>
      </c>
      <c r="G330" t="s">
        <v>5919</v>
      </c>
    </row>
    <row r="331" ht="11.25" customHeight="1">
      <c r="A331" t="s">
        <v>14</v>
      </c>
      <c r="B331" t="s">
        <v>5913</v>
      </c>
      <c r="C331" t="s">
        <v>5914</v>
      </c>
      <c r="D331" t="s">
        <v>5920</v>
      </c>
      <c r="E331" t="s">
        <v>5921</v>
      </c>
      <c r="F331" t="s">
        <v>5023</v>
      </c>
      <c r="G331" t="s">
        <v>5922</v>
      </c>
    </row>
    <row r="332" ht="11.25" customHeight="1">
      <c r="A332" t="s">
        <v>14</v>
      </c>
      <c r="B332" t="s">
        <v>5913</v>
      </c>
      <c r="C332" t="s">
        <v>5914</v>
      </c>
      <c r="D332" t="s">
        <v>5923</v>
      </c>
      <c r="E332" t="s">
        <v>5924</v>
      </c>
      <c r="F332" t="s">
        <v>5023</v>
      </c>
      <c r="G332" t="s">
        <v>5925</v>
      </c>
    </row>
    <row r="333" ht="11.25" customHeight="1">
      <c r="A333" t="s">
        <v>14</v>
      </c>
      <c r="B333" t="s">
        <v>5913</v>
      </c>
      <c r="C333" t="s">
        <v>5914</v>
      </c>
      <c r="D333" t="s">
        <v>5913</v>
      </c>
      <c r="E333" t="s">
        <v>5914</v>
      </c>
      <c r="F333" t="s">
        <v>5014</v>
      </c>
      <c r="G333" t="s">
        <v>5926</v>
      </c>
    </row>
    <row r="334" ht="11.25" customHeight="1">
      <c r="A334" t="s">
        <v>14</v>
      </c>
      <c r="B334" t="s">
        <v>5913</v>
      </c>
      <c r="C334" t="s">
        <v>5914</v>
      </c>
      <c r="D334" t="s">
        <v>5927</v>
      </c>
      <c r="E334" t="s">
        <v>5928</v>
      </c>
      <c r="F334" t="s">
        <v>5023</v>
      </c>
      <c r="G334" t="s">
        <v>5929</v>
      </c>
    </row>
    <row r="335" ht="11.25" customHeight="1">
      <c r="A335" t="s">
        <v>14</v>
      </c>
      <c r="B335" t="s">
        <v>5930</v>
      </c>
      <c r="C335" t="s">
        <v>5931</v>
      </c>
      <c r="D335" t="s">
        <v>5932</v>
      </c>
      <c r="E335" t="s">
        <v>5933</v>
      </c>
      <c r="F335" t="s">
        <v>5023</v>
      </c>
      <c r="G335" t="s">
        <v>5934</v>
      </c>
    </row>
    <row r="336" ht="11.25" customHeight="1">
      <c r="A336" t="s">
        <v>14</v>
      </c>
      <c r="B336" t="s">
        <v>5930</v>
      </c>
      <c r="C336" t="s">
        <v>5931</v>
      </c>
      <c r="D336" t="s">
        <v>5935</v>
      </c>
      <c r="E336" t="s">
        <v>5936</v>
      </c>
      <c r="F336" t="s">
        <v>5023</v>
      </c>
      <c r="G336" t="s">
        <v>5937</v>
      </c>
    </row>
    <row r="337" ht="11.25" customHeight="1">
      <c r="A337" t="s">
        <v>14</v>
      </c>
      <c r="B337" t="s">
        <v>5930</v>
      </c>
      <c r="C337" t="s">
        <v>5931</v>
      </c>
      <c r="D337" t="s">
        <v>5938</v>
      </c>
      <c r="E337" t="s">
        <v>5939</v>
      </c>
      <c r="F337" t="s">
        <v>5023</v>
      </c>
      <c r="G337" t="s">
        <v>5940</v>
      </c>
    </row>
    <row r="338" ht="11.25" customHeight="1">
      <c r="A338" t="s">
        <v>14</v>
      </c>
      <c r="B338" t="s">
        <v>5930</v>
      </c>
      <c r="C338" t="s">
        <v>5931</v>
      </c>
      <c r="D338" t="s">
        <v>5941</v>
      </c>
      <c r="E338" t="s">
        <v>5942</v>
      </c>
      <c r="F338" t="s">
        <v>5023</v>
      </c>
      <c r="G338" t="s">
        <v>5943</v>
      </c>
    </row>
    <row r="339" ht="11.25" customHeight="1">
      <c r="A339" t="s">
        <v>14</v>
      </c>
      <c r="B339" t="s">
        <v>5930</v>
      </c>
      <c r="C339" t="s">
        <v>5931</v>
      </c>
      <c r="D339" t="s">
        <v>5944</v>
      </c>
      <c r="E339" t="s">
        <v>5945</v>
      </c>
      <c r="F339" t="s">
        <v>5023</v>
      </c>
      <c r="G339" t="s">
        <v>5946</v>
      </c>
    </row>
    <row r="340" ht="11.25" customHeight="1">
      <c r="A340" t="s">
        <v>14</v>
      </c>
      <c r="B340" t="s">
        <v>5930</v>
      </c>
      <c r="C340" t="s">
        <v>5931</v>
      </c>
      <c r="D340" t="s">
        <v>5947</v>
      </c>
      <c r="E340" t="s">
        <v>5948</v>
      </c>
      <c r="F340" t="s">
        <v>5023</v>
      </c>
      <c r="G340" t="s">
        <v>5949</v>
      </c>
    </row>
    <row r="341" ht="11.25" customHeight="1">
      <c r="A341" t="s">
        <v>14</v>
      </c>
      <c r="B341" t="s">
        <v>5930</v>
      </c>
      <c r="C341" t="s">
        <v>5931</v>
      </c>
      <c r="D341" t="s">
        <v>5950</v>
      </c>
      <c r="E341" t="s">
        <v>5951</v>
      </c>
      <c r="F341" t="s">
        <v>5023</v>
      </c>
      <c r="G341" t="s">
        <v>5952</v>
      </c>
    </row>
    <row r="342" ht="11.25" customHeight="1">
      <c r="A342" t="s">
        <v>14</v>
      </c>
      <c r="B342" t="s">
        <v>5930</v>
      </c>
      <c r="C342" t="s">
        <v>5931</v>
      </c>
      <c r="D342" t="s">
        <v>5930</v>
      </c>
      <c r="E342" t="s">
        <v>5931</v>
      </c>
      <c r="F342" t="s">
        <v>5014</v>
      </c>
      <c r="G342" t="s">
        <v>5953</v>
      </c>
    </row>
    <row r="343" ht="11.25" customHeight="1">
      <c r="A343" t="s">
        <v>14</v>
      </c>
      <c r="B343" t="s">
        <v>5930</v>
      </c>
      <c r="C343" t="s">
        <v>5931</v>
      </c>
      <c r="D343" t="s">
        <v>5954</v>
      </c>
      <c r="E343" t="s">
        <v>5955</v>
      </c>
      <c r="F343" t="s">
        <v>5023</v>
      </c>
      <c r="G343" t="s">
        <v>5956</v>
      </c>
    </row>
    <row r="344" ht="11.25" customHeight="1">
      <c r="A344" t="s">
        <v>14</v>
      </c>
      <c r="B344" t="s">
        <v>5957</v>
      </c>
      <c r="C344" t="s">
        <v>5958</v>
      </c>
      <c r="D344" t="s">
        <v>5959</v>
      </c>
      <c r="E344" t="s">
        <v>5960</v>
      </c>
      <c r="F344" t="s">
        <v>5023</v>
      </c>
      <c r="G344" t="s">
        <v>5961</v>
      </c>
    </row>
    <row r="345" ht="11.25" customHeight="1">
      <c r="A345" t="s">
        <v>14</v>
      </c>
      <c r="B345" t="s">
        <v>5957</v>
      </c>
      <c r="C345" t="s">
        <v>5958</v>
      </c>
      <c r="D345" t="s">
        <v>5962</v>
      </c>
      <c r="E345" t="s">
        <v>5963</v>
      </c>
      <c r="F345" t="s">
        <v>5023</v>
      </c>
      <c r="G345" t="s">
        <v>5964</v>
      </c>
    </row>
    <row r="346" ht="11.25" customHeight="1">
      <c r="A346" t="s">
        <v>14</v>
      </c>
      <c r="B346" t="s">
        <v>5957</v>
      </c>
      <c r="C346" t="s">
        <v>5958</v>
      </c>
      <c r="D346" t="s">
        <v>5965</v>
      </c>
      <c r="E346" t="s">
        <v>5966</v>
      </c>
      <c r="F346" t="s">
        <v>5023</v>
      </c>
      <c r="G346" t="s">
        <v>5967</v>
      </c>
    </row>
    <row r="347" ht="11.25" customHeight="1">
      <c r="A347" t="s">
        <v>14</v>
      </c>
      <c r="B347" t="s">
        <v>5957</v>
      </c>
      <c r="C347" t="s">
        <v>5958</v>
      </c>
      <c r="D347" t="s">
        <v>5968</v>
      </c>
      <c r="E347" t="s">
        <v>5969</v>
      </c>
      <c r="F347" t="s">
        <v>5023</v>
      </c>
      <c r="G347" t="s">
        <v>5970</v>
      </c>
    </row>
    <row r="348" ht="11.25" customHeight="1">
      <c r="A348" t="s">
        <v>14</v>
      </c>
      <c r="B348" t="s">
        <v>5957</v>
      </c>
      <c r="C348" t="s">
        <v>5958</v>
      </c>
      <c r="D348" t="s">
        <v>5971</v>
      </c>
      <c r="E348" t="s">
        <v>5972</v>
      </c>
      <c r="F348" t="s">
        <v>5023</v>
      </c>
      <c r="G348" t="s">
        <v>5973</v>
      </c>
    </row>
    <row r="349" ht="11.25" customHeight="1">
      <c r="A349" t="s">
        <v>14</v>
      </c>
      <c r="B349" t="s">
        <v>5957</v>
      </c>
      <c r="C349" t="s">
        <v>5958</v>
      </c>
      <c r="D349" t="s">
        <v>5974</v>
      </c>
      <c r="E349" t="s">
        <v>5975</v>
      </c>
      <c r="F349" t="s">
        <v>5023</v>
      </c>
      <c r="G349" t="s">
        <v>5976</v>
      </c>
    </row>
    <row r="350" ht="11.25" customHeight="1">
      <c r="A350" t="s">
        <v>14</v>
      </c>
      <c r="B350" t="s">
        <v>5957</v>
      </c>
      <c r="C350" t="s">
        <v>5958</v>
      </c>
      <c r="D350" t="s">
        <v>5977</v>
      </c>
      <c r="E350" t="s">
        <v>5978</v>
      </c>
      <c r="F350" t="s">
        <v>5023</v>
      </c>
      <c r="G350" t="s">
        <v>5979</v>
      </c>
    </row>
    <row r="351" ht="11.25" customHeight="1">
      <c r="A351" t="s">
        <v>14</v>
      </c>
      <c r="B351" t="s">
        <v>5957</v>
      </c>
      <c r="C351" t="s">
        <v>5958</v>
      </c>
      <c r="D351" t="s">
        <v>5980</v>
      </c>
      <c r="E351" t="s">
        <v>5981</v>
      </c>
      <c r="F351" t="s">
        <v>5023</v>
      </c>
      <c r="G351" t="s">
        <v>5982</v>
      </c>
    </row>
    <row r="352" ht="11.25" customHeight="1">
      <c r="A352" t="s">
        <v>14</v>
      </c>
      <c r="B352" t="s">
        <v>5957</v>
      </c>
      <c r="C352" t="s">
        <v>5958</v>
      </c>
      <c r="D352" t="s">
        <v>5983</v>
      </c>
      <c r="E352" t="s">
        <v>5984</v>
      </c>
      <c r="F352" t="s">
        <v>5023</v>
      </c>
      <c r="G352" t="s">
        <v>5985</v>
      </c>
    </row>
    <row r="353" ht="11.25" customHeight="1">
      <c r="A353" t="s">
        <v>14</v>
      </c>
      <c r="B353" t="s">
        <v>5957</v>
      </c>
      <c r="C353" t="s">
        <v>5958</v>
      </c>
      <c r="D353" t="s">
        <v>5986</v>
      </c>
      <c r="E353" t="s">
        <v>5987</v>
      </c>
      <c r="F353" t="s">
        <v>5023</v>
      </c>
      <c r="G353" t="s">
        <v>5988</v>
      </c>
    </row>
    <row r="354" ht="11.25" customHeight="1">
      <c r="A354" t="s">
        <v>14</v>
      </c>
      <c r="B354" t="s">
        <v>5957</v>
      </c>
      <c r="C354" t="s">
        <v>5958</v>
      </c>
      <c r="D354" t="s">
        <v>5957</v>
      </c>
      <c r="E354" t="s">
        <v>5958</v>
      </c>
      <c r="F354" t="s">
        <v>5014</v>
      </c>
      <c r="G354" t="s">
        <v>5989</v>
      </c>
    </row>
    <row r="355" ht="11.25" customHeight="1">
      <c r="A355" t="s">
        <v>14</v>
      </c>
      <c r="B355" t="s">
        <v>5957</v>
      </c>
      <c r="C355" t="s">
        <v>5958</v>
      </c>
      <c r="D355" t="s">
        <v>5990</v>
      </c>
      <c r="E355" t="s">
        <v>5991</v>
      </c>
      <c r="F355" t="s">
        <v>5017</v>
      </c>
      <c r="G355" t="s">
        <v>5992</v>
      </c>
    </row>
    <row r="356" ht="11.25" customHeight="1">
      <c r="A356" t="s">
        <v>14</v>
      </c>
      <c r="B356" t="s">
        <v>5957</v>
      </c>
      <c r="C356" t="s">
        <v>5958</v>
      </c>
      <c r="D356" t="s">
        <v>5993</v>
      </c>
      <c r="E356" t="s">
        <v>5994</v>
      </c>
      <c r="F356" t="s">
        <v>5023</v>
      </c>
      <c r="G356" t="s">
        <v>5995</v>
      </c>
    </row>
    <row r="357" ht="11.25" customHeight="1">
      <c r="A357" t="s">
        <v>14</v>
      </c>
      <c r="B357" t="s">
        <v>5996</v>
      </c>
      <c r="C357" t="s">
        <v>5997</v>
      </c>
      <c r="D357" t="s">
        <v>5998</v>
      </c>
      <c r="E357" t="s">
        <v>5999</v>
      </c>
      <c r="F357" t="s">
        <v>5023</v>
      </c>
      <c r="G357" t="s">
        <v>6000</v>
      </c>
    </row>
    <row r="358" ht="11.25" customHeight="1">
      <c r="A358" t="s">
        <v>14</v>
      </c>
      <c r="B358" t="s">
        <v>5996</v>
      </c>
      <c r="C358" t="s">
        <v>5997</v>
      </c>
      <c r="D358" t="s">
        <v>6001</v>
      </c>
      <c r="E358" t="s">
        <v>6002</v>
      </c>
      <c r="F358" t="s">
        <v>5023</v>
      </c>
      <c r="G358" t="s">
        <v>6003</v>
      </c>
    </row>
    <row r="359" ht="11.25" customHeight="1">
      <c r="A359" t="s">
        <v>14</v>
      </c>
      <c r="B359" t="s">
        <v>5996</v>
      </c>
      <c r="C359" t="s">
        <v>5997</v>
      </c>
      <c r="D359" t="s">
        <v>6004</v>
      </c>
      <c r="E359" t="s">
        <v>6005</v>
      </c>
      <c r="F359" t="s">
        <v>5023</v>
      </c>
      <c r="G359" t="s">
        <v>6006</v>
      </c>
    </row>
    <row r="360" ht="11.25" customHeight="1">
      <c r="A360" t="s">
        <v>14</v>
      </c>
      <c r="B360" t="s">
        <v>5996</v>
      </c>
      <c r="C360" t="s">
        <v>5997</v>
      </c>
      <c r="D360" t="s">
        <v>6007</v>
      </c>
      <c r="E360" t="s">
        <v>6008</v>
      </c>
      <c r="F360" t="s">
        <v>5023</v>
      </c>
      <c r="G360" t="s">
        <v>6009</v>
      </c>
    </row>
    <row r="361" ht="11.25" customHeight="1">
      <c r="A361" t="s">
        <v>14</v>
      </c>
      <c r="B361" t="s">
        <v>5996</v>
      </c>
      <c r="C361" t="s">
        <v>5997</v>
      </c>
      <c r="D361" t="s">
        <v>6010</v>
      </c>
      <c r="E361" t="s">
        <v>6011</v>
      </c>
      <c r="F361" t="s">
        <v>5023</v>
      </c>
      <c r="G361" t="s">
        <v>6012</v>
      </c>
    </row>
    <row r="362" ht="11.25" customHeight="1">
      <c r="A362" t="s">
        <v>14</v>
      </c>
      <c r="B362" t="s">
        <v>5996</v>
      </c>
      <c r="C362" t="s">
        <v>5997</v>
      </c>
      <c r="D362" t="s">
        <v>6013</v>
      </c>
      <c r="E362" t="s">
        <v>6014</v>
      </c>
      <c r="F362" t="s">
        <v>5023</v>
      </c>
      <c r="G362" t="s">
        <v>6015</v>
      </c>
    </row>
    <row r="363" ht="11.25" customHeight="1">
      <c r="A363" t="s">
        <v>14</v>
      </c>
      <c r="B363" t="s">
        <v>5996</v>
      </c>
      <c r="C363" t="s">
        <v>5997</v>
      </c>
      <c r="D363" t="s">
        <v>6016</v>
      </c>
      <c r="E363" t="s">
        <v>6017</v>
      </c>
      <c r="F363" t="s">
        <v>5023</v>
      </c>
      <c r="G363" t="s">
        <v>6018</v>
      </c>
    </row>
    <row r="364" ht="11.25" customHeight="1">
      <c r="A364" t="s">
        <v>14</v>
      </c>
      <c r="B364" t="s">
        <v>5996</v>
      </c>
      <c r="C364" t="s">
        <v>5997</v>
      </c>
      <c r="D364" t="s">
        <v>6019</v>
      </c>
      <c r="E364" t="s">
        <v>6020</v>
      </c>
      <c r="F364" t="s">
        <v>5023</v>
      </c>
      <c r="G364" t="s">
        <v>6021</v>
      </c>
    </row>
    <row r="365" ht="11.25" customHeight="1">
      <c r="A365" t="s">
        <v>14</v>
      </c>
      <c r="B365" t="s">
        <v>5996</v>
      </c>
      <c r="C365" t="s">
        <v>5997</v>
      </c>
      <c r="D365" t="s">
        <v>6022</v>
      </c>
      <c r="E365" t="s">
        <v>6023</v>
      </c>
      <c r="F365" t="s">
        <v>5023</v>
      </c>
      <c r="G365" t="s">
        <v>6024</v>
      </c>
    </row>
    <row r="366" ht="11.25" customHeight="1">
      <c r="A366" t="s">
        <v>14</v>
      </c>
      <c r="B366" t="s">
        <v>5996</v>
      </c>
      <c r="C366" t="s">
        <v>5997</v>
      </c>
      <c r="D366" t="s">
        <v>5996</v>
      </c>
      <c r="E366" t="s">
        <v>5997</v>
      </c>
      <c r="F366" t="s">
        <v>5014</v>
      </c>
      <c r="G366" t="s">
        <v>6025</v>
      </c>
    </row>
    <row r="367" ht="11.25" customHeight="1">
      <c r="A367" t="s">
        <v>14</v>
      </c>
      <c r="B367" t="s">
        <v>5996</v>
      </c>
      <c r="C367" t="s">
        <v>5997</v>
      </c>
      <c r="D367" t="s">
        <v>6026</v>
      </c>
      <c r="E367" t="s">
        <v>6027</v>
      </c>
      <c r="F367" t="s">
        <v>5017</v>
      </c>
      <c r="G367" t="s">
        <v>6028</v>
      </c>
    </row>
    <row r="368" ht="11.25" customHeight="1">
      <c r="A368" t="s">
        <v>14</v>
      </c>
      <c r="B368" t="s">
        <v>6029</v>
      </c>
      <c r="C368" t="s">
        <v>6030</v>
      </c>
      <c r="D368" t="s">
        <v>6031</v>
      </c>
      <c r="E368" t="s">
        <v>6032</v>
      </c>
      <c r="F368" t="s">
        <v>5023</v>
      </c>
      <c r="G368" t="s">
        <v>6033</v>
      </c>
    </row>
    <row r="369" ht="11.25" customHeight="1">
      <c r="A369" t="s">
        <v>14</v>
      </c>
      <c r="B369" t="s">
        <v>6029</v>
      </c>
      <c r="C369" t="s">
        <v>6030</v>
      </c>
      <c r="D369" t="s">
        <v>6034</v>
      </c>
      <c r="E369" t="s">
        <v>6035</v>
      </c>
      <c r="F369" t="s">
        <v>5023</v>
      </c>
      <c r="G369" t="s">
        <v>6036</v>
      </c>
    </row>
    <row r="370" ht="11.25" customHeight="1">
      <c r="A370" t="s">
        <v>14</v>
      </c>
      <c r="B370" t="s">
        <v>6029</v>
      </c>
      <c r="C370" t="s">
        <v>6030</v>
      </c>
      <c r="D370" t="s">
        <v>6037</v>
      </c>
      <c r="E370" t="s">
        <v>6038</v>
      </c>
      <c r="F370" t="s">
        <v>5023</v>
      </c>
      <c r="G370" t="s">
        <v>6039</v>
      </c>
    </row>
    <row r="371" ht="11.25" customHeight="1">
      <c r="A371" t="s">
        <v>14</v>
      </c>
      <c r="B371" t="s">
        <v>6029</v>
      </c>
      <c r="C371" t="s">
        <v>6030</v>
      </c>
      <c r="D371" t="s">
        <v>6040</v>
      </c>
      <c r="E371" t="s">
        <v>6041</v>
      </c>
      <c r="F371" t="s">
        <v>5023</v>
      </c>
      <c r="G371" t="s">
        <v>6042</v>
      </c>
    </row>
    <row r="372" ht="11.25" customHeight="1">
      <c r="A372" t="s">
        <v>14</v>
      </c>
      <c r="B372" t="s">
        <v>6029</v>
      </c>
      <c r="C372" t="s">
        <v>6030</v>
      </c>
      <c r="D372" t="s">
        <v>6043</v>
      </c>
      <c r="E372" t="s">
        <v>6044</v>
      </c>
      <c r="F372" t="s">
        <v>5023</v>
      </c>
      <c r="G372" t="s">
        <v>6045</v>
      </c>
    </row>
    <row r="373" ht="11.25" customHeight="1">
      <c r="A373" t="s">
        <v>14</v>
      </c>
      <c r="B373" t="s">
        <v>6029</v>
      </c>
      <c r="C373" t="s">
        <v>6030</v>
      </c>
      <c r="D373" t="s">
        <v>6046</v>
      </c>
      <c r="E373" t="s">
        <v>6047</v>
      </c>
      <c r="F373" t="s">
        <v>5023</v>
      </c>
      <c r="G373" t="s">
        <v>6048</v>
      </c>
    </row>
    <row r="374" ht="11.25" customHeight="1">
      <c r="A374" t="s">
        <v>14</v>
      </c>
      <c r="B374" t="s">
        <v>6029</v>
      </c>
      <c r="C374" t="s">
        <v>6030</v>
      </c>
      <c r="D374" t="s">
        <v>5742</v>
      </c>
      <c r="E374" t="s">
        <v>6049</v>
      </c>
      <c r="F374" t="s">
        <v>5023</v>
      </c>
      <c r="G374" t="s">
        <v>6050</v>
      </c>
    </row>
    <row r="375" ht="11.25" customHeight="1">
      <c r="A375" t="s">
        <v>14</v>
      </c>
      <c r="B375" t="s">
        <v>6029</v>
      </c>
      <c r="C375" t="s">
        <v>6030</v>
      </c>
      <c r="D375" t="s">
        <v>6051</v>
      </c>
      <c r="E375" t="s">
        <v>6052</v>
      </c>
      <c r="F375" t="s">
        <v>5023</v>
      </c>
      <c r="G375" t="s">
        <v>6053</v>
      </c>
    </row>
    <row r="376" ht="11.25" customHeight="1">
      <c r="A376" t="s">
        <v>14</v>
      </c>
      <c r="B376" t="s">
        <v>6029</v>
      </c>
      <c r="C376" t="s">
        <v>6030</v>
      </c>
      <c r="D376" t="s">
        <v>6054</v>
      </c>
      <c r="E376" t="s">
        <v>6055</v>
      </c>
      <c r="F376" t="s">
        <v>5023</v>
      </c>
      <c r="G376" t="s">
        <v>6056</v>
      </c>
    </row>
    <row r="377" ht="11.25" customHeight="1">
      <c r="A377" t="s">
        <v>14</v>
      </c>
      <c r="B377" t="s">
        <v>6029</v>
      </c>
      <c r="C377" t="s">
        <v>6030</v>
      </c>
      <c r="D377" t="s">
        <v>6029</v>
      </c>
      <c r="E377" t="s">
        <v>6030</v>
      </c>
      <c r="F377" t="s">
        <v>5014</v>
      </c>
      <c r="G377" t="s">
        <v>6057</v>
      </c>
    </row>
    <row r="378" ht="11.25" customHeight="1">
      <c r="A378" t="s">
        <v>14</v>
      </c>
      <c r="B378" t="s">
        <v>6029</v>
      </c>
      <c r="C378" t="s">
        <v>6030</v>
      </c>
      <c r="D378" t="s">
        <v>6058</v>
      </c>
      <c r="E378" t="s">
        <v>6059</v>
      </c>
      <c r="F378" t="s">
        <v>5017</v>
      </c>
      <c r="G378" t="s">
        <v>6060</v>
      </c>
    </row>
    <row r="379" ht="11.25" customHeight="1">
      <c r="A379" t="s">
        <v>14</v>
      </c>
      <c r="B379" t="s">
        <v>6029</v>
      </c>
      <c r="C379" t="s">
        <v>6030</v>
      </c>
      <c r="D379" t="s">
        <v>6061</v>
      </c>
      <c r="E379" t="s">
        <v>6062</v>
      </c>
      <c r="F379" t="s">
        <v>5023</v>
      </c>
      <c r="G379" t="s">
        <v>6063</v>
      </c>
    </row>
    <row r="380" ht="11.25" customHeight="1">
      <c r="A380" t="s">
        <v>14</v>
      </c>
      <c r="B380" t="s">
        <v>6029</v>
      </c>
      <c r="C380" t="s">
        <v>6030</v>
      </c>
      <c r="D380" t="s">
        <v>6064</v>
      </c>
      <c r="E380" t="s">
        <v>6065</v>
      </c>
      <c r="F380" t="s">
        <v>5023</v>
      </c>
      <c r="G380" t="s">
        <v>6066</v>
      </c>
    </row>
    <row r="381" ht="11.25" customHeight="1">
      <c r="A381" t="s">
        <v>14</v>
      </c>
      <c r="B381" t="s">
        <v>6029</v>
      </c>
      <c r="C381" t="s">
        <v>6030</v>
      </c>
      <c r="D381" t="s">
        <v>6067</v>
      </c>
      <c r="E381" t="s">
        <v>6068</v>
      </c>
      <c r="F381" t="s">
        <v>5023</v>
      </c>
      <c r="G381" t="s">
        <v>6069</v>
      </c>
    </row>
    <row r="382" ht="11.25" customHeight="1">
      <c r="A382" t="s">
        <v>14</v>
      </c>
      <c r="B382" t="s">
        <v>6070</v>
      </c>
      <c r="C382" t="s">
        <v>6071</v>
      </c>
      <c r="D382" t="s">
        <v>6072</v>
      </c>
      <c r="E382" t="s">
        <v>6073</v>
      </c>
      <c r="F382" t="s">
        <v>5023</v>
      </c>
      <c r="G382" t="s">
        <v>6074</v>
      </c>
    </row>
    <row r="383" ht="11.25" customHeight="1">
      <c r="A383" t="s">
        <v>14</v>
      </c>
      <c r="B383" t="s">
        <v>6070</v>
      </c>
      <c r="C383" t="s">
        <v>6071</v>
      </c>
      <c r="D383" t="s">
        <v>6075</v>
      </c>
      <c r="E383" t="s">
        <v>6076</v>
      </c>
      <c r="F383" t="s">
        <v>5023</v>
      </c>
      <c r="G383" t="s">
        <v>6077</v>
      </c>
    </row>
    <row r="384" ht="11.25" customHeight="1">
      <c r="A384" t="s">
        <v>14</v>
      </c>
      <c r="B384" t="s">
        <v>6070</v>
      </c>
      <c r="C384" t="s">
        <v>6071</v>
      </c>
      <c r="D384" t="s">
        <v>6078</v>
      </c>
      <c r="E384" t="s">
        <v>6079</v>
      </c>
      <c r="F384" t="s">
        <v>5020</v>
      </c>
      <c r="G384" t="s">
        <v>6080</v>
      </c>
    </row>
    <row r="385" ht="11.25" customHeight="1">
      <c r="A385" t="s">
        <v>14</v>
      </c>
      <c r="B385" t="s">
        <v>6070</v>
      </c>
      <c r="C385" t="s">
        <v>6071</v>
      </c>
      <c r="D385" t="s">
        <v>6081</v>
      </c>
      <c r="E385" t="s">
        <v>6082</v>
      </c>
      <c r="F385" t="s">
        <v>5023</v>
      </c>
      <c r="G385" t="s">
        <v>6083</v>
      </c>
    </row>
    <row r="386" ht="11.25" customHeight="1">
      <c r="A386" t="s">
        <v>14</v>
      </c>
      <c r="B386" t="s">
        <v>6070</v>
      </c>
      <c r="C386" t="s">
        <v>6071</v>
      </c>
      <c r="D386" t="s">
        <v>6084</v>
      </c>
      <c r="E386" t="s">
        <v>6085</v>
      </c>
      <c r="F386" t="s">
        <v>5020</v>
      </c>
      <c r="G386" t="s">
        <v>6086</v>
      </c>
    </row>
    <row r="387" ht="11.25" customHeight="1">
      <c r="A387" t="s">
        <v>14</v>
      </c>
      <c r="B387" t="s">
        <v>6070</v>
      </c>
      <c r="C387" t="s">
        <v>6071</v>
      </c>
      <c r="D387" t="s">
        <v>5400</v>
      </c>
      <c r="E387" t="s">
        <v>6087</v>
      </c>
      <c r="F387" t="s">
        <v>5023</v>
      </c>
      <c r="G387" t="s">
        <v>6088</v>
      </c>
    </row>
    <row r="388" ht="11.25" customHeight="1">
      <c r="A388" t="s">
        <v>14</v>
      </c>
      <c r="B388" t="s">
        <v>6070</v>
      </c>
      <c r="C388" t="s">
        <v>6071</v>
      </c>
      <c r="D388" t="s">
        <v>6089</v>
      </c>
      <c r="E388" t="s">
        <v>6090</v>
      </c>
      <c r="F388" t="s">
        <v>5023</v>
      </c>
      <c r="G388" t="s">
        <v>6091</v>
      </c>
    </row>
    <row r="389" ht="11.25" customHeight="1">
      <c r="A389" t="s">
        <v>14</v>
      </c>
      <c r="B389" t="s">
        <v>6070</v>
      </c>
      <c r="C389" t="s">
        <v>6071</v>
      </c>
      <c r="D389" t="s">
        <v>6070</v>
      </c>
      <c r="E389" t="s">
        <v>6071</v>
      </c>
      <c r="F389" t="s">
        <v>5014</v>
      </c>
      <c r="G389" t="s">
        <v>6092</v>
      </c>
    </row>
    <row r="390" ht="11.25" customHeight="1">
      <c r="A390" t="s">
        <v>14</v>
      </c>
      <c r="B390" t="s">
        <v>6070</v>
      </c>
      <c r="C390" t="s">
        <v>6071</v>
      </c>
      <c r="D390" t="s">
        <v>6093</v>
      </c>
      <c r="E390" t="s">
        <v>6094</v>
      </c>
      <c r="F390" t="s">
        <v>5017</v>
      </c>
      <c r="G390" t="s">
        <v>6095</v>
      </c>
    </row>
    <row r="391" ht="11.25" customHeight="1">
      <c r="A391" t="s">
        <v>14</v>
      </c>
      <c r="B391" t="s">
        <v>6070</v>
      </c>
      <c r="C391" t="s">
        <v>6071</v>
      </c>
      <c r="D391" t="s">
        <v>6096</v>
      </c>
      <c r="E391" t="s">
        <v>6097</v>
      </c>
      <c r="F391" t="s">
        <v>5023</v>
      </c>
      <c r="G391" t="s">
        <v>6098</v>
      </c>
    </row>
    <row r="392" ht="11.25" customHeight="1">
      <c r="A392" t="s">
        <v>14</v>
      </c>
      <c r="B392" t="s">
        <v>6070</v>
      </c>
      <c r="C392" t="s">
        <v>6071</v>
      </c>
      <c r="D392" t="s">
        <v>6099</v>
      </c>
      <c r="E392" t="s">
        <v>6100</v>
      </c>
      <c r="F392" t="s">
        <v>5023</v>
      </c>
      <c r="G392" t="s">
        <v>6101</v>
      </c>
    </row>
    <row r="393" ht="11.25" customHeight="1">
      <c r="A393" t="s">
        <v>14</v>
      </c>
      <c r="B393" t="s">
        <v>6102</v>
      </c>
      <c r="C393" t="s">
        <v>6103</v>
      </c>
      <c r="D393" t="s">
        <v>5771</v>
      </c>
      <c r="E393" t="s">
        <v>6104</v>
      </c>
      <c r="F393" t="s">
        <v>5023</v>
      </c>
      <c r="G393" t="s">
        <v>6105</v>
      </c>
    </row>
    <row r="394" ht="11.25" customHeight="1">
      <c r="A394" t="s">
        <v>14</v>
      </c>
      <c r="B394" t="s">
        <v>6102</v>
      </c>
      <c r="C394" t="s">
        <v>6103</v>
      </c>
      <c r="D394" t="s">
        <v>6106</v>
      </c>
      <c r="E394" t="s">
        <v>6107</v>
      </c>
      <c r="F394" t="s">
        <v>5023</v>
      </c>
      <c r="G394" t="s">
        <v>6108</v>
      </c>
    </row>
    <row r="395" ht="11.25" customHeight="1">
      <c r="A395" t="s">
        <v>14</v>
      </c>
      <c r="B395" t="s">
        <v>6102</v>
      </c>
      <c r="C395" t="s">
        <v>6103</v>
      </c>
      <c r="D395" t="s">
        <v>6109</v>
      </c>
      <c r="E395" t="s">
        <v>6110</v>
      </c>
      <c r="F395" t="s">
        <v>5023</v>
      </c>
      <c r="G395" t="s">
        <v>6111</v>
      </c>
    </row>
    <row r="396" ht="11.25" customHeight="1">
      <c r="A396" t="s">
        <v>14</v>
      </c>
      <c r="B396" t="s">
        <v>6102</v>
      </c>
      <c r="C396" t="s">
        <v>6103</v>
      </c>
      <c r="D396" t="s">
        <v>6112</v>
      </c>
      <c r="E396" t="s">
        <v>6113</v>
      </c>
      <c r="F396" t="s">
        <v>5023</v>
      </c>
      <c r="G396" t="s">
        <v>6114</v>
      </c>
    </row>
    <row r="397" ht="11.25" customHeight="1">
      <c r="A397" t="s">
        <v>14</v>
      </c>
      <c r="B397" t="s">
        <v>6102</v>
      </c>
      <c r="C397" t="s">
        <v>6103</v>
      </c>
      <c r="D397" t="s">
        <v>6115</v>
      </c>
      <c r="E397" t="s">
        <v>6116</v>
      </c>
      <c r="F397" t="s">
        <v>5023</v>
      </c>
      <c r="G397" t="s">
        <v>6117</v>
      </c>
    </row>
    <row r="398" ht="11.25" customHeight="1">
      <c r="A398" t="s">
        <v>14</v>
      </c>
      <c r="B398" t="s">
        <v>6102</v>
      </c>
      <c r="C398" t="s">
        <v>6103</v>
      </c>
      <c r="D398" t="s">
        <v>6118</v>
      </c>
      <c r="E398" t="s">
        <v>6119</v>
      </c>
      <c r="F398" t="s">
        <v>5023</v>
      </c>
      <c r="G398" t="s">
        <v>6120</v>
      </c>
    </row>
    <row r="399" ht="11.25" customHeight="1">
      <c r="A399" t="s">
        <v>14</v>
      </c>
      <c r="B399" t="s">
        <v>6102</v>
      </c>
      <c r="C399" t="s">
        <v>6103</v>
      </c>
      <c r="D399" t="s">
        <v>6121</v>
      </c>
      <c r="E399" t="s">
        <v>6122</v>
      </c>
      <c r="F399" t="s">
        <v>5023</v>
      </c>
      <c r="G399" t="s">
        <v>6123</v>
      </c>
    </row>
    <row r="400" ht="11.25" customHeight="1">
      <c r="A400" t="s">
        <v>14</v>
      </c>
      <c r="B400" t="s">
        <v>6102</v>
      </c>
      <c r="C400" t="s">
        <v>6103</v>
      </c>
      <c r="D400" t="s">
        <v>6124</v>
      </c>
      <c r="E400" t="s">
        <v>6125</v>
      </c>
      <c r="F400" t="s">
        <v>5023</v>
      </c>
      <c r="G400" t="s">
        <v>6126</v>
      </c>
    </row>
    <row r="401" ht="11.25" customHeight="1">
      <c r="A401" t="s">
        <v>14</v>
      </c>
      <c r="B401" t="s">
        <v>6102</v>
      </c>
      <c r="C401" t="s">
        <v>6103</v>
      </c>
      <c r="D401" t="s">
        <v>6127</v>
      </c>
      <c r="E401" t="s">
        <v>6128</v>
      </c>
      <c r="F401" t="s">
        <v>5023</v>
      </c>
      <c r="G401" t="s">
        <v>6129</v>
      </c>
    </row>
    <row r="402" ht="11.25" customHeight="1">
      <c r="A402" t="s">
        <v>14</v>
      </c>
      <c r="B402" t="s">
        <v>6102</v>
      </c>
      <c r="C402" t="s">
        <v>6103</v>
      </c>
      <c r="D402" t="s">
        <v>6102</v>
      </c>
      <c r="E402" t="s">
        <v>6103</v>
      </c>
      <c r="F402" t="s">
        <v>5014</v>
      </c>
      <c r="G402" t="s">
        <v>6130</v>
      </c>
    </row>
    <row r="403" ht="11.25" customHeight="1">
      <c r="A403" t="s">
        <v>14</v>
      </c>
      <c r="B403" t="s">
        <v>6102</v>
      </c>
      <c r="C403" t="s">
        <v>6103</v>
      </c>
      <c r="D403" t="s">
        <v>5066</v>
      </c>
      <c r="E403" t="s">
        <v>6131</v>
      </c>
      <c r="F403" t="s">
        <v>5023</v>
      </c>
      <c r="G403" t="s">
        <v>6132</v>
      </c>
    </row>
    <row r="404" ht="11.25" customHeight="1">
      <c r="A404" t="s">
        <v>14</v>
      </c>
      <c r="B404" t="s">
        <v>6133</v>
      </c>
      <c r="C404" t="s">
        <v>6134</v>
      </c>
      <c r="D404" t="s">
        <v>5234</v>
      </c>
      <c r="E404" t="s">
        <v>6135</v>
      </c>
      <c r="F404" t="s">
        <v>5023</v>
      </c>
      <c r="G404" t="s">
        <v>6136</v>
      </c>
    </row>
    <row r="405" ht="11.25" customHeight="1">
      <c r="A405" t="s">
        <v>14</v>
      </c>
      <c r="B405" t="s">
        <v>6133</v>
      </c>
      <c r="C405" t="s">
        <v>6134</v>
      </c>
      <c r="D405" t="s">
        <v>6037</v>
      </c>
      <c r="E405" t="s">
        <v>6137</v>
      </c>
      <c r="F405" t="s">
        <v>5023</v>
      </c>
      <c r="G405" t="s">
        <v>6138</v>
      </c>
    </row>
    <row r="406" ht="11.25" customHeight="1">
      <c r="A406" t="s">
        <v>14</v>
      </c>
      <c r="B406" t="s">
        <v>6133</v>
      </c>
      <c r="C406" t="s">
        <v>6134</v>
      </c>
      <c r="D406" t="s">
        <v>6139</v>
      </c>
      <c r="E406" t="s">
        <v>6140</v>
      </c>
      <c r="F406" t="s">
        <v>5023</v>
      </c>
      <c r="G406" t="s">
        <v>6141</v>
      </c>
    </row>
    <row r="407" ht="11.25" customHeight="1">
      <c r="A407" t="s">
        <v>14</v>
      </c>
      <c r="B407" t="s">
        <v>6133</v>
      </c>
      <c r="C407" t="s">
        <v>6134</v>
      </c>
      <c r="D407" t="s">
        <v>6142</v>
      </c>
      <c r="E407" t="s">
        <v>6143</v>
      </c>
      <c r="F407" t="s">
        <v>5023</v>
      </c>
      <c r="G407" t="s">
        <v>6144</v>
      </c>
    </row>
    <row r="408" ht="11.25" customHeight="1">
      <c r="A408" t="s">
        <v>14</v>
      </c>
      <c r="B408" t="s">
        <v>6133</v>
      </c>
      <c r="C408" t="s">
        <v>6134</v>
      </c>
      <c r="D408" t="s">
        <v>5591</v>
      </c>
      <c r="E408" t="s">
        <v>6145</v>
      </c>
      <c r="F408" t="s">
        <v>5023</v>
      </c>
      <c r="G408" t="s">
        <v>6146</v>
      </c>
    </row>
    <row r="409" ht="11.25" customHeight="1">
      <c r="A409" t="s">
        <v>14</v>
      </c>
      <c r="B409" t="s">
        <v>6133</v>
      </c>
      <c r="C409" t="s">
        <v>6134</v>
      </c>
      <c r="D409" t="s">
        <v>6147</v>
      </c>
      <c r="E409" t="s">
        <v>6148</v>
      </c>
      <c r="F409" t="s">
        <v>5023</v>
      </c>
      <c r="G409" t="s">
        <v>6149</v>
      </c>
    </row>
    <row r="410" ht="11.25" customHeight="1">
      <c r="A410" t="s">
        <v>14</v>
      </c>
      <c r="B410" t="s">
        <v>6133</v>
      </c>
      <c r="C410" t="s">
        <v>6134</v>
      </c>
      <c r="D410" t="s">
        <v>6150</v>
      </c>
      <c r="E410" t="s">
        <v>6151</v>
      </c>
      <c r="F410" t="s">
        <v>5023</v>
      </c>
      <c r="G410" t="s">
        <v>6152</v>
      </c>
    </row>
    <row r="411" ht="11.25" customHeight="1">
      <c r="A411" t="s">
        <v>14</v>
      </c>
      <c r="B411" t="s">
        <v>6133</v>
      </c>
      <c r="C411" t="s">
        <v>6134</v>
      </c>
      <c r="D411" t="s">
        <v>6153</v>
      </c>
      <c r="E411" t="s">
        <v>6154</v>
      </c>
      <c r="F411" t="s">
        <v>5023</v>
      </c>
      <c r="G411" t="s">
        <v>6155</v>
      </c>
    </row>
    <row r="412" ht="11.25" customHeight="1">
      <c r="A412" t="s">
        <v>14</v>
      </c>
      <c r="B412" t="s">
        <v>6133</v>
      </c>
      <c r="C412" t="s">
        <v>6134</v>
      </c>
      <c r="D412" t="s">
        <v>6156</v>
      </c>
      <c r="E412" t="s">
        <v>6157</v>
      </c>
      <c r="F412" t="s">
        <v>5023</v>
      </c>
      <c r="G412" t="s">
        <v>6158</v>
      </c>
    </row>
    <row r="413" ht="11.25" customHeight="1">
      <c r="A413" t="s">
        <v>14</v>
      </c>
      <c r="B413" t="s">
        <v>6133</v>
      </c>
      <c r="C413" t="s">
        <v>6134</v>
      </c>
      <c r="D413" t="s">
        <v>6159</v>
      </c>
      <c r="E413" t="s">
        <v>6160</v>
      </c>
      <c r="F413" t="s">
        <v>5023</v>
      </c>
      <c r="G413" t="s">
        <v>6161</v>
      </c>
    </row>
    <row r="414" ht="11.25" customHeight="1">
      <c r="A414" t="s">
        <v>14</v>
      </c>
      <c r="B414" t="s">
        <v>6133</v>
      </c>
      <c r="C414" t="s">
        <v>6134</v>
      </c>
      <c r="D414" t="s">
        <v>6162</v>
      </c>
      <c r="E414" t="s">
        <v>6163</v>
      </c>
      <c r="F414" t="s">
        <v>5023</v>
      </c>
      <c r="G414" t="s">
        <v>6164</v>
      </c>
    </row>
    <row r="415" ht="11.25" customHeight="1">
      <c r="A415" t="s">
        <v>14</v>
      </c>
      <c r="B415" t="s">
        <v>6133</v>
      </c>
      <c r="C415" t="s">
        <v>6134</v>
      </c>
      <c r="D415" t="s">
        <v>6165</v>
      </c>
      <c r="E415" t="s">
        <v>6166</v>
      </c>
      <c r="F415" t="s">
        <v>5023</v>
      </c>
      <c r="G415" t="s">
        <v>6167</v>
      </c>
    </row>
    <row r="416" ht="11.25" customHeight="1">
      <c r="A416" t="s">
        <v>14</v>
      </c>
      <c r="B416" t="s">
        <v>6133</v>
      </c>
      <c r="C416" t="s">
        <v>6134</v>
      </c>
      <c r="D416" t="s">
        <v>6168</v>
      </c>
      <c r="E416" t="s">
        <v>6169</v>
      </c>
      <c r="F416" t="s">
        <v>5023</v>
      </c>
      <c r="G416" t="s">
        <v>6170</v>
      </c>
    </row>
    <row r="417" ht="11.25" customHeight="1">
      <c r="A417" t="s">
        <v>14</v>
      </c>
      <c r="B417" t="s">
        <v>6133</v>
      </c>
      <c r="C417" t="s">
        <v>6134</v>
      </c>
      <c r="D417" t="s">
        <v>6089</v>
      </c>
      <c r="E417" t="s">
        <v>6171</v>
      </c>
      <c r="F417" t="s">
        <v>5023</v>
      </c>
      <c r="G417" t="s">
        <v>6172</v>
      </c>
    </row>
    <row r="418" ht="11.25" customHeight="1">
      <c r="A418" t="s">
        <v>14</v>
      </c>
      <c r="B418" t="s">
        <v>6133</v>
      </c>
      <c r="C418" t="s">
        <v>6134</v>
      </c>
      <c r="D418" t="s">
        <v>6133</v>
      </c>
      <c r="E418" t="s">
        <v>6134</v>
      </c>
      <c r="F418" t="s">
        <v>5014</v>
      </c>
      <c r="G418" t="s">
        <v>6173</v>
      </c>
    </row>
    <row r="419" ht="11.25" customHeight="1">
      <c r="A419" t="s">
        <v>14</v>
      </c>
      <c r="B419" t="s">
        <v>6133</v>
      </c>
      <c r="C419" t="s">
        <v>6134</v>
      </c>
      <c r="D419" t="s">
        <v>6174</v>
      </c>
      <c r="E419" t="s">
        <v>6175</v>
      </c>
      <c r="F419" t="s">
        <v>5017</v>
      </c>
      <c r="G419" t="s">
        <v>6176</v>
      </c>
    </row>
    <row r="420" ht="11.25" customHeight="1">
      <c r="A420" t="s">
        <v>14</v>
      </c>
      <c r="B420" t="s">
        <v>6177</v>
      </c>
      <c r="C420" t="s">
        <v>6178</v>
      </c>
      <c r="D420" t="s">
        <v>6179</v>
      </c>
      <c r="E420" t="s">
        <v>6180</v>
      </c>
      <c r="F420" t="s">
        <v>5023</v>
      </c>
      <c r="G420" t="s">
        <v>6181</v>
      </c>
    </row>
    <row r="421" ht="11.25" customHeight="1">
      <c r="A421" t="s">
        <v>14</v>
      </c>
      <c r="B421" t="s">
        <v>6177</v>
      </c>
      <c r="C421" t="s">
        <v>6178</v>
      </c>
      <c r="D421" t="s">
        <v>6182</v>
      </c>
      <c r="E421" t="s">
        <v>6183</v>
      </c>
      <c r="F421" t="s">
        <v>5023</v>
      </c>
      <c r="G421" t="s">
        <v>6184</v>
      </c>
    </row>
    <row r="422" ht="11.25" customHeight="1">
      <c r="A422" t="s">
        <v>14</v>
      </c>
      <c r="B422" t="s">
        <v>6177</v>
      </c>
      <c r="C422" t="s">
        <v>6178</v>
      </c>
      <c r="D422" t="s">
        <v>6185</v>
      </c>
      <c r="E422" t="s">
        <v>6186</v>
      </c>
      <c r="F422" t="s">
        <v>5023</v>
      </c>
      <c r="G422" t="s">
        <v>6187</v>
      </c>
    </row>
    <row r="423" ht="11.25" customHeight="1">
      <c r="A423" t="s">
        <v>14</v>
      </c>
      <c r="B423" t="s">
        <v>6177</v>
      </c>
      <c r="C423" t="s">
        <v>6178</v>
      </c>
      <c r="D423" t="s">
        <v>6118</v>
      </c>
      <c r="E423" t="s">
        <v>6188</v>
      </c>
      <c r="F423" t="s">
        <v>5023</v>
      </c>
      <c r="G423" t="s">
        <v>6189</v>
      </c>
    </row>
    <row r="424" ht="11.25" customHeight="1">
      <c r="A424" t="s">
        <v>14</v>
      </c>
      <c r="B424" t="s">
        <v>6177</v>
      </c>
      <c r="C424" t="s">
        <v>6178</v>
      </c>
      <c r="D424" t="s">
        <v>6190</v>
      </c>
      <c r="E424" t="s">
        <v>6191</v>
      </c>
      <c r="F424" t="s">
        <v>5023</v>
      </c>
      <c r="G424" t="s">
        <v>6192</v>
      </c>
    </row>
    <row r="425" ht="11.25" customHeight="1">
      <c r="A425" t="s">
        <v>14</v>
      </c>
      <c r="B425" t="s">
        <v>6177</v>
      </c>
      <c r="C425" t="s">
        <v>6178</v>
      </c>
      <c r="D425" t="s">
        <v>6193</v>
      </c>
      <c r="E425" t="s">
        <v>6194</v>
      </c>
      <c r="F425" t="s">
        <v>5023</v>
      </c>
      <c r="G425" t="s">
        <v>6195</v>
      </c>
    </row>
    <row r="426" ht="11.25" customHeight="1">
      <c r="A426" t="s">
        <v>14</v>
      </c>
      <c r="B426" t="s">
        <v>6177</v>
      </c>
      <c r="C426" t="s">
        <v>6178</v>
      </c>
      <c r="D426" t="s">
        <v>6196</v>
      </c>
      <c r="E426" t="s">
        <v>6197</v>
      </c>
      <c r="F426" t="s">
        <v>5023</v>
      </c>
      <c r="G426" t="s">
        <v>6198</v>
      </c>
    </row>
    <row r="427" ht="11.25" customHeight="1">
      <c r="A427" t="s">
        <v>14</v>
      </c>
      <c r="B427" t="s">
        <v>6177</v>
      </c>
      <c r="C427" t="s">
        <v>6178</v>
      </c>
      <c r="D427" t="s">
        <v>6177</v>
      </c>
      <c r="E427" t="s">
        <v>6178</v>
      </c>
      <c r="F427" t="s">
        <v>5014</v>
      </c>
      <c r="G427" t="s">
        <v>6199</v>
      </c>
    </row>
    <row r="428" ht="11.25" customHeight="1">
      <c r="A428" t="s">
        <v>14</v>
      </c>
      <c r="B428" t="s">
        <v>6177</v>
      </c>
      <c r="C428" t="s">
        <v>6178</v>
      </c>
      <c r="D428" t="s">
        <v>6200</v>
      </c>
      <c r="E428" t="s">
        <v>6201</v>
      </c>
      <c r="F428" t="s">
        <v>5023</v>
      </c>
      <c r="G428" t="s">
        <v>6202</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4" style="760" width="9.140625"/>
  </cols>
  <sheetData>
    <row r="1" ht="11.25" customHeight="1">
      <c r="A1" s="760" t="s">
        <v>6203</v>
      </c>
      <c r="B1" s="760" t="s">
        <v>6204</v>
      </c>
      <c r="C1" s="760" t="s">
        <v>6205</v>
      </c>
      <c r="D1" s="760" t="s">
        <v>6206</v>
      </c>
    </row>
    <row r="2" ht="11.25" customHeight="1">
      <c r="A2" s="760" t="s">
        <v>111</v>
      </c>
      <c r="B2" s="760" t="s">
        <v>6207</v>
      </c>
      <c r="C2" s="760" t="s">
        <v>6208</v>
      </c>
      <c r="D2" s="760" t="s">
        <v>6209</v>
      </c>
    </row>
    <row r="3" ht="11.25" customHeight="1">
      <c r="A3" s="760" t="s">
        <v>99</v>
      </c>
      <c r="B3" s="760" t="s">
        <v>6210</v>
      </c>
      <c r="C3" s="760" t="s">
        <v>6211</v>
      </c>
      <c r="D3" s="760" t="s">
        <v>6212</v>
      </c>
    </row>
    <row r="4" ht="11.25" customHeight="1">
      <c r="A4" s="760" t="s">
        <v>87</v>
      </c>
      <c r="B4" s="760" t="s">
        <v>6213</v>
      </c>
      <c r="C4" s="760" t="s">
        <v>6214</v>
      </c>
      <c r="D4" s="760" t="s">
        <v>6215</v>
      </c>
    </row>
    <row r="5" ht="11.25" customHeight="1">
      <c r="A5" s="760" t="s">
        <v>88</v>
      </c>
      <c r="B5" s="760" t="s">
        <v>6216</v>
      </c>
      <c r="C5" s="760" t="s">
        <v>6217</v>
      </c>
      <c r="D5" s="760" t="s">
        <v>6215</v>
      </c>
    </row>
    <row r="6" ht="11.25" customHeight="1">
      <c r="A6" s="760" t="s">
        <v>112</v>
      </c>
      <c r="B6" s="760" t="s">
        <v>6218</v>
      </c>
      <c r="C6" s="760" t="s">
        <v>6219</v>
      </c>
      <c r="D6" s="760" t="s">
        <v>6220</v>
      </c>
    </row>
    <row r="7" ht="11.25" customHeight="1">
      <c r="A7" s="760" t="s">
        <v>89</v>
      </c>
      <c r="B7" s="760" t="s">
        <v>6221</v>
      </c>
      <c r="C7" s="760" t="s">
        <v>6222</v>
      </c>
      <c r="D7" s="760" t="s">
        <v>6215</v>
      </c>
    </row>
    <row r="8" ht="11.25" customHeight="1">
      <c r="A8" s="760" t="s">
        <v>90</v>
      </c>
      <c r="B8" s="760" t="s">
        <v>6223</v>
      </c>
      <c r="C8" s="760" t="s">
        <v>6224</v>
      </c>
      <c r="D8" s="760" t="s">
        <v>6215</v>
      </c>
    </row>
    <row r="9" ht="11.25" customHeight="1">
      <c r="A9" s="760" t="s">
        <v>113</v>
      </c>
      <c r="B9" s="760" t="s">
        <v>6225</v>
      </c>
      <c r="C9" s="760" t="s">
        <v>6226</v>
      </c>
      <c r="D9" s="760" t="s">
        <v>6215</v>
      </c>
    </row>
    <row r="10" ht="11.25" customHeight="1">
      <c r="A10" s="760" t="s">
        <v>150</v>
      </c>
      <c r="B10" s="760" t="s">
        <v>6227</v>
      </c>
      <c r="C10" s="760" t="s">
        <v>6228</v>
      </c>
      <c r="D10" s="760" t="s">
        <v>6215</v>
      </c>
    </row>
    <row r="11" ht="11.25" customHeight="1">
      <c r="A11" s="760" t="s">
        <v>151</v>
      </c>
      <c r="B11" s="760" t="s">
        <v>6229</v>
      </c>
      <c r="C11" s="760" t="s">
        <v>6230</v>
      </c>
      <c r="D11" s="760" t="s">
        <v>6220</v>
      </c>
    </row>
    <row r="12" ht="11.25" customHeight="1">
      <c r="A12" s="760" t="s">
        <v>152</v>
      </c>
      <c r="B12" s="760" t="s">
        <v>6231</v>
      </c>
      <c r="C12" s="760" t="s">
        <v>6232</v>
      </c>
      <c r="D12" s="760" t="s">
        <v>6233</v>
      </c>
    </row>
    <row r="13" ht="11.25" customHeight="1">
      <c r="A13" s="760" t="s">
        <v>153</v>
      </c>
      <c r="B13" s="760" t="s">
        <v>6234</v>
      </c>
      <c r="C13" s="760" t="s">
        <v>6214</v>
      </c>
      <c r="D13" s="760" t="s">
        <v>6215</v>
      </c>
    </row>
    <row r="14" ht="11.25" customHeight="1">
      <c r="A14" s="760" t="s">
        <v>154</v>
      </c>
      <c r="B14" s="760" t="s">
        <v>6235</v>
      </c>
      <c r="C14" s="760" t="s">
        <v>6236</v>
      </c>
      <c r="D14" s="760" t="s">
        <v>6209</v>
      </c>
    </row>
    <row r="15" ht="11.25" customHeight="1">
      <c r="A15" s="760" t="s">
        <v>155</v>
      </c>
      <c r="B15" s="760" t="s">
        <v>6237</v>
      </c>
      <c r="C15" s="760" t="s">
        <v>6238</v>
      </c>
      <c r="D15" s="760" t="s">
        <v>6215</v>
      </c>
    </row>
    <row r="16" ht="11.25" customHeight="1">
      <c r="A16" s="760" t="s">
        <v>1453</v>
      </c>
      <c r="B16" s="760" t="s">
        <v>6239</v>
      </c>
      <c r="C16" s="760" t="s">
        <v>6240</v>
      </c>
      <c r="D16" s="760" t="s">
        <v>6241</v>
      </c>
    </row>
    <row r="17" ht="11.25" customHeight="1">
      <c r="A17" s="760" t="s">
        <v>1459</v>
      </c>
      <c r="B17" s="760" t="s">
        <v>6242</v>
      </c>
      <c r="C17" s="760" t="s">
        <v>6243</v>
      </c>
      <c r="D17" s="760" t="s">
        <v>6212</v>
      </c>
    </row>
    <row r="18" ht="11.25" customHeight="1">
      <c r="A18" s="760" t="s">
        <v>1470</v>
      </c>
      <c r="B18" s="760" t="s">
        <v>6244</v>
      </c>
      <c r="C18" s="760" t="s">
        <v>6245</v>
      </c>
      <c r="D18" s="760" t="s">
        <v>6220</v>
      </c>
    </row>
    <row r="19" ht="11.25" customHeight="1">
      <c r="A19" s="760" t="s">
        <v>1484</v>
      </c>
      <c r="B19" s="760" t="s">
        <v>6246</v>
      </c>
      <c r="C19" s="760" t="s">
        <v>6219</v>
      </c>
      <c r="D19" s="760" t="s">
        <v>6220</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1359" width="9.140625"/>
  </cols>
  <sheetData>
    <row r="1" ht="11.25" customHeight="1">
      <c r="A1" s="1359" t="s">
        <v>132</v>
      </c>
      <c r="B1" s="1359" t="s">
        <v>6247</v>
      </c>
    </row>
    <row r="2" ht="11.25" customHeight="1">
      <c r="A2" s="1359" t="s">
        <v>95</v>
      </c>
      <c r="B2" s="1359" t="s">
        <v>6248</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60" width="9.140625"/>
    <col customWidth="1" min="2" max="2" style="760" width="65.28125"/>
  </cols>
  <sheetData>
    <row r="1" ht="11.25" customHeight="1">
      <c r="A1" s="760" t="s">
        <v>6249</v>
      </c>
      <c r="B1" s="760" t="s">
        <v>6250</v>
      </c>
    </row>
    <row r="2" ht="11.25" customHeight="1">
      <c r="A2" s="760">
        <v>4213775</v>
      </c>
      <c r="B2" s="760" t="s">
        <v>1212</v>
      </c>
    </row>
    <row r="3" ht="11.25" customHeight="1">
      <c r="A3" s="760">
        <v>4213784</v>
      </c>
      <c r="B3" s="760" t="s">
        <v>1247</v>
      </c>
    </row>
    <row r="4" ht="11.25" customHeight="1">
      <c r="A4" s="760">
        <v>4213781</v>
      </c>
      <c r="B4" s="760" t="s">
        <v>1240</v>
      </c>
    </row>
    <row r="5" ht="11.25" customHeight="1">
      <c r="A5" s="760">
        <v>4213776</v>
      </c>
      <c r="B5" s="760" t="s">
        <v>168</v>
      </c>
    </row>
    <row r="6" ht="11.25" customHeight="1">
      <c r="A6" s="760">
        <v>4213777</v>
      </c>
      <c r="B6" s="760" t="s">
        <v>174</v>
      </c>
    </row>
    <row r="7" ht="11.25" customHeight="1">
      <c r="A7" s="760">
        <v>4213778</v>
      </c>
      <c r="B7" s="760" t="s">
        <v>180</v>
      </c>
    </row>
    <row r="8" ht="11.25" customHeight="1">
      <c r="A8" s="760">
        <v>4213780</v>
      </c>
      <c r="B8" s="760" t="s">
        <v>186</v>
      </c>
    </row>
    <row r="9" ht="11.25" customHeight="1">
      <c r="A9" s="760">
        <v>4213779</v>
      </c>
      <c r="B9" s="760" t="s">
        <v>1378</v>
      </c>
    </row>
    <row r="10" ht="11.25" customHeight="1">
      <c r="A10" s="760">
        <v>4213783</v>
      </c>
      <c r="B10" s="760" t="s">
        <v>1393</v>
      </c>
    </row>
    <row r="11" ht="11.25" customHeight="1">
      <c r="A11" s="760">
        <v>4213782</v>
      </c>
      <c r="B11" s="760" t="s">
        <v>192</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60" width="9.140625"/>
    <col customWidth="1" min="2" max="2" style="760" width="65.28125"/>
  </cols>
  <sheetData>
    <row r="1" ht="11.25" customHeight="1">
      <c r="A1" s="760" t="s">
        <v>6249</v>
      </c>
      <c r="B1" s="760" t="s">
        <v>6251</v>
      </c>
    </row>
    <row r="2" ht="11.25" customHeight="1">
      <c r="A2" s="760" t="s">
        <v>6252</v>
      </c>
      <c r="B2" s="760" t="s">
        <v>1490</v>
      </c>
    </row>
    <row r="3" ht="11.25" customHeight="1">
      <c r="A3" s="760" t="s">
        <v>6253</v>
      </c>
      <c r="B3" s="760" t="s">
        <v>1500</v>
      </c>
    </row>
    <row r="4" ht="11.25" customHeight="1">
      <c r="A4" s="760" t="s">
        <v>6254</v>
      </c>
      <c r="B4" s="760" t="s">
        <v>1509</v>
      </c>
    </row>
    <row r="5" ht="11.25" customHeight="1">
      <c r="A5" s="760" t="s">
        <v>6255</v>
      </c>
      <c r="B5" s="760" t="s">
        <v>1518</v>
      </c>
    </row>
    <row r="6" ht="11.25" customHeight="1">
      <c r="A6" s="760" t="s">
        <v>6256</v>
      </c>
      <c r="B6" s="760" t="s">
        <v>1524</v>
      </c>
    </row>
    <row r="7" ht="11.25" customHeight="1">
      <c r="A7" s="760" t="s">
        <v>6257</v>
      </c>
      <c r="B7" s="760" t="s">
        <v>1532</v>
      </c>
    </row>
    <row r="8" ht="11.25" customHeight="1">
      <c r="A8" s="760" t="s">
        <v>119</v>
      </c>
      <c r="B8" s="760" t="s">
        <v>1539</v>
      </c>
    </row>
    <row r="9" ht="11.25" customHeight="1">
      <c r="A9" s="760" t="s">
        <v>6258</v>
      </c>
      <c r="B9" s="760" t="s">
        <v>1545</v>
      </c>
    </row>
    <row r="10" ht="11.25" customHeight="1">
      <c r="A10" s="760" t="s">
        <v>6259</v>
      </c>
      <c r="B10" s="760" t="s">
        <v>1549</v>
      </c>
    </row>
    <row r="11" ht="11.25" customHeight="1">
      <c r="A11" s="760" t="s">
        <v>6260</v>
      </c>
      <c r="B11" s="760" t="s">
        <v>1556</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c r="A1" t="s">
        <v>5005</v>
      </c>
      <c r="B1" t="s">
        <v>5006</v>
      </c>
      <c r="C1" t="s">
        <v>5007</v>
      </c>
      <c r="D1" t="s">
        <v>5008</v>
      </c>
      <c r="E1" t="s">
        <v>5009</v>
      </c>
      <c r="F1" t="s">
        <v>5010</v>
      </c>
      <c r="G1" t="s">
        <v>5011</v>
      </c>
    </row>
    <row r="2" ht="11.25" customHeight="1">
      <c r="A2" t="s">
        <v>14</v>
      </c>
      <c r="B2" t="s">
        <v>5012</v>
      </c>
      <c r="C2" t="s">
        <v>5013</v>
      </c>
      <c r="D2" t="s">
        <v>5012</v>
      </c>
      <c r="E2" t="s">
        <v>5013</v>
      </c>
      <c r="F2" t="s">
        <v>5014</v>
      </c>
      <c r="G2" t="s">
        <v>111</v>
      </c>
    </row>
    <row r="3" ht="11.25" customHeight="1">
      <c r="A3" t="s">
        <v>14</v>
      </c>
      <c r="B3" t="s">
        <v>5012</v>
      </c>
      <c r="C3" t="s">
        <v>5013</v>
      </c>
      <c r="D3" t="s">
        <v>5015</v>
      </c>
      <c r="E3" t="s">
        <v>5016</v>
      </c>
      <c r="F3" t="s">
        <v>5017</v>
      </c>
      <c r="G3" t="s">
        <v>99</v>
      </c>
    </row>
    <row r="4" ht="11.25" customHeight="1">
      <c r="A4" t="s">
        <v>14</v>
      </c>
      <c r="B4" t="s">
        <v>5012</v>
      </c>
      <c r="C4" t="s">
        <v>5013</v>
      </c>
      <c r="D4" t="s">
        <v>5018</v>
      </c>
      <c r="E4" t="s">
        <v>5019</v>
      </c>
      <c r="F4" t="s">
        <v>5020</v>
      </c>
      <c r="G4" t="s">
        <v>87</v>
      </c>
    </row>
    <row r="5" ht="11.25" customHeight="1">
      <c r="A5" t="s">
        <v>14</v>
      </c>
      <c r="B5" t="s">
        <v>5012</v>
      </c>
      <c r="C5" t="s">
        <v>5013</v>
      </c>
      <c r="D5" t="s">
        <v>5021</v>
      </c>
      <c r="E5" t="s">
        <v>5022</v>
      </c>
      <c r="F5" t="s">
        <v>5023</v>
      </c>
      <c r="G5" t="s">
        <v>88</v>
      </c>
    </row>
    <row r="6" ht="11.25" customHeight="1">
      <c r="A6" t="s">
        <v>14</v>
      </c>
      <c r="B6" t="s">
        <v>5012</v>
      </c>
      <c r="C6" t="s">
        <v>5013</v>
      </c>
      <c r="D6" t="s">
        <v>5024</v>
      </c>
      <c r="E6" t="s">
        <v>5025</v>
      </c>
      <c r="F6" t="s">
        <v>5023</v>
      </c>
      <c r="G6" t="s">
        <v>112</v>
      </c>
    </row>
    <row r="7" ht="11.25" customHeight="1">
      <c r="A7" t="s">
        <v>14</v>
      </c>
      <c r="B7" t="s">
        <v>5012</v>
      </c>
      <c r="C7" t="s">
        <v>5013</v>
      </c>
      <c r="D7" t="s">
        <v>5026</v>
      </c>
      <c r="E7" t="s">
        <v>5027</v>
      </c>
      <c r="F7" t="s">
        <v>5023</v>
      </c>
      <c r="G7" t="s">
        <v>89</v>
      </c>
    </row>
    <row r="8" ht="11.25" customHeight="1">
      <c r="A8" t="s">
        <v>14</v>
      </c>
      <c r="B8" t="s">
        <v>5012</v>
      </c>
      <c r="C8" t="s">
        <v>5013</v>
      </c>
      <c r="D8" t="s">
        <v>5028</v>
      </c>
      <c r="E8" t="s">
        <v>5029</v>
      </c>
      <c r="F8" t="s">
        <v>5023</v>
      </c>
      <c r="G8" t="s">
        <v>90</v>
      </c>
    </row>
    <row r="9" ht="11.25" customHeight="1">
      <c r="A9" t="s">
        <v>14</v>
      </c>
      <c r="B9" t="s">
        <v>5012</v>
      </c>
      <c r="C9" t="s">
        <v>5013</v>
      </c>
      <c r="D9" t="s">
        <v>5030</v>
      </c>
      <c r="E9" t="s">
        <v>5031</v>
      </c>
      <c r="F9" t="s">
        <v>5023</v>
      </c>
      <c r="G9" t="s">
        <v>113</v>
      </c>
    </row>
    <row r="10" ht="11.25" customHeight="1">
      <c r="A10" t="s">
        <v>14</v>
      </c>
      <c r="B10" t="s">
        <v>5012</v>
      </c>
      <c r="C10" t="s">
        <v>5013</v>
      </c>
      <c r="D10" t="s">
        <v>5032</v>
      </c>
      <c r="E10" t="s">
        <v>5033</v>
      </c>
      <c r="F10" t="s">
        <v>5023</v>
      </c>
      <c r="G10" t="s">
        <v>150</v>
      </c>
    </row>
    <row r="11" ht="11.25" customHeight="1">
      <c r="A11" t="s">
        <v>14</v>
      </c>
      <c r="B11" t="s">
        <v>5034</v>
      </c>
      <c r="C11" t="s">
        <v>5035</v>
      </c>
      <c r="D11" t="s">
        <v>5034</v>
      </c>
      <c r="E11" t="s">
        <v>5035</v>
      </c>
      <c r="F11" t="s">
        <v>5014</v>
      </c>
      <c r="G11" t="s">
        <v>151</v>
      </c>
    </row>
    <row r="12" ht="11.25" customHeight="1">
      <c r="A12" t="s">
        <v>14</v>
      </c>
      <c r="B12" t="s">
        <v>5034</v>
      </c>
      <c r="C12" t="s">
        <v>5035</v>
      </c>
      <c r="D12" t="s">
        <v>5036</v>
      </c>
      <c r="E12" t="s">
        <v>5037</v>
      </c>
      <c r="F12" t="s">
        <v>5017</v>
      </c>
      <c r="G12" t="s">
        <v>152</v>
      </c>
    </row>
    <row r="13" ht="11.25" customHeight="1">
      <c r="A13" t="s">
        <v>14</v>
      </c>
      <c r="B13" t="s">
        <v>5034</v>
      </c>
      <c r="C13" t="s">
        <v>5035</v>
      </c>
      <c r="D13" t="s">
        <v>5038</v>
      </c>
      <c r="E13" t="s">
        <v>5039</v>
      </c>
      <c r="F13" t="s">
        <v>5023</v>
      </c>
      <c r="G13" t="s">
        <v>153</v>
      </c>
    </row>
    <row r="14" ht="11.25" customHeight="1">
      <c r="A14" t="s">
        <v>14</v>
      </c>
      <c r="B14" t="s">
        <v>5034</v>
      </c>
      <c r="C14" t="s">
        <v>5035</v>
      </c>
      <c r="D14" t="s">
        <v>5040</v>
      </c>
      <c r="E14" t="s">
        <v>5041</v>
      </c>
      <c r="F14" t="s">
        <v>5023</v>
      </c>
      <c r="G14" t="s">
        <v>154</v>
      </c>
    </row>
    <row r="15" ht="11.25" customHeight="1">
      <c r="A15" t="s">
        <v>14</v>
      </c>
      <c r="B15" t="s">
        <v>5034</v>
      </c>
      <c r="C15" t="s">
        <v>5035</v>
      </c>
      <c r="D15" t="s">
        <v>5042</v>
      </c>
      <c r="E15" t="s">
        <v>5043</v>
      </c>
      <c r="F15" t="s">
        <v>5023</v>
      </c>
      <c r="G15" t="s">
        <v>155</v>
      </c>
    </row>
    <row r="16" ht="11.25" customHeight="1">
      <c r="A16" t="s">
        <v>14</v>
      </c>
      <c r="B16" t="s">
        <v>5034</v>
      </c>
      <c r="C16" t="s">
        <v>5035</v>
      </c>
      <c r="D16" t="s">
        <v>5044</v>
      </c>
      <c r="E16" t="s">
        <v>5045</v>
      </c>
      <c r="F16" t="s">
        <v>5023</v>
      </c>
      <c r="G16" t="s">
        <v>1453</v>
      </c>
    </row>
    <row r="17" ht="11.25" customHeight="1">
      <c r="A17" t="s">
        <v>14</v>
      </c>
      <c r="B17" t="s">
        <v>5034</v>
      </c>
      <c r="C17" t="s">
        <v>5035</v>
      </c>
      <c r="D17" t="s">
        <v>5046</v>
      </c>
      <c r="E17" t="s">
        <v>5047</v>
      </c>
      <c r="F17" t="s">
        <v>5020</v>
      </c>
      <c r="G17" t="s">
        <v>1459</v>
      </c>
    </row>
    <row r="18" ht="11.25" customHeight="1">
      <c r="A18" t="s">
        <v>14</v>
      </c>
      <c r="B18" t="s">
        <v>5034</v>
      </c>
      <c r="C18" t="s">
        <v>5035</v>
      </c>
      <c r="D18" t="s">
        <v>5048</v>
      </c>
      <c r="E18" t="s">
        <v>5049</v>
      </c>
      <c r="F18" t="s">
        <v>5023</v>
      </c>
      <c r="G18" t="s">
        <v>1470</v>
      </c>
    </row>
    <row r="19" ht="11.25" customHeight="1">
      <c r="A19" t="s">
        <v>14</v>
      </c>
      <c r="B19" t="s">
        <v>5034</v>
      </c>
      <c r="C19" t="s">
        <v>5035</v>
      </c>
      <c r="D19" t="s">
        <v>5050</v>
      </c>
      <c r="E19" t="s">
        <v>5051</v>
      </c>
      <c r="F19" t="s">
        <v>5023</v>
      </c>
      <c r="G19" t="s">
        <v>1484</v>
      </c>
    </row>
    <row r="20" ht="11.25" customHeight="1">
      <c r="A20" t="s">
        <v>14</v>
      </c>
      <c r="B20" t="s">
        <v>5034</v>
      </c>
      <c r="C20" t="s">
        <v>5035</v>
      </c>
      <c r="D20" t="s">
        <v>5052</v>
      </c>
      <c r="E20" t="s">
        <v>5053</v>
      </c>
      <c r="F20" t="s">
        <v>5023</v>
      </c>
      <c r="G20" t="s">
        <v>1496</v>
      </c>
    </row>
    <row r="21" ht="11.25" customHeight="1">
      <c r="A21" t="s">
        <v>14</v>
      </c>
      <c r="B21" t="s">
        <v>5034</v>
      </c>
      <c r="C21" t="s">
        <v>5035</v>
      </c>
      <c r="D21" t="s">
        <v>5054</v>
      </c>
      <c r="E21" t="s">
        <v>5055</v>
      </c>
      <c r="F21" t="s">
        <v>5023</v>
      </c>
      <c r="G21" t="s">
        <v>1505</v>
      </c>
    </row>
    <row r="22" ht="11.25" customHeight="1">
      <c r="A22" t="s">
        <v>14</v>
      </c>
      <c r="B22" t="s">
        <v>5034</v>
      </c>
      <c r="C22" t="s">
        <v>5035</v>
      </c>
      <c r="D22" t="s">
        <v>5056</v>
      </c>
      <c r="E22" t="s">
        <v>5057</v>
      </c>
      <c r="F22" t="s">
        <v>5017</v>
      </c>
      <c r="G22" t="s">
        <v>1521</v>
      </c>
    </row>
    <row r="23" ht="11.25" customHeight="1">
      <c r="A23" t="s">
        <v>14</v>
      </c>
      <c r="B23" t="s">
        <v>5034</v>
      </c>
      <c r="C23" t="s">
        <v>5035</v>
      </c>
      <c r="D23" t="s">
        <v>5058</v>
      </c>
      <c r="E23" t="s">
        <v>5059</v>
      </c>
      <c r="F23" t="s">
        <v>5023</v>
      </c>
      <c r="G23" t="s">
        <v>1528</v>
      </c>
    </row>
    <row r="24" ht="11.25" customHeight="1">
      <c r="A24" t="s">
        <v>14</v>
      </c>
      <c r="B24" t="s">
        <v>5060</v>
      </c>
      <c r="C24" t="s">
        <v>5061</v>
      </c>
      <c r="D24" t="s">
        <v>5060</v>
      </c>
      <c r="E24" t="s">
        <v>5061</v>
      </c>
      <c r="F24" t="s">
        <v>5014</v>
      </c>
      <c r="G24" t="s">
        <v>1536</v>
      </c>
    </row>
    <row r="25" ht="11.25" customHeight="1">
      <c r="A25" t="s">
        <v>14</v>
      </c>
      <c r="B25" t="s">
        <v>5060</v>
      </c>
      <c r="C25" t="s">
        <v>5061</v>
      </c>
      <c r="D25" t="s">
        <v>5062</v>
      </c>
      <c r="E25" t="s">
        <v>5063</v>
      </c>
      <c r="F25" t="s">
        <v>5023</v>
      </c>
      <c r="G25" t="s">
        <v>1543</v>
      </c>
    </row>
    <row r="26" ht="11.25" customHeight="1">
      <c r="A26" t="s">
        <v>14</v>
      </c>
      <c r="B26" t="s">
        <v>5060</v>
      </c>
      <c r="C26" t="s">
        <v>5061</v>
      </c>
      <c r="D26" t="s">
        <v>5064</v>
      </c>
      <c r="E26" t="s">
        <v>5065</v>
      </c>
      <c r="F26" t="s">
        <v>5023</v>
      </c>
      <c r="G26" t="s">
        <v>1547</v>
      </c>
    </row>
    <row r="27" ht="11.25" customHeight="1">
      <c r="A27" t="s">
        <v>14</v>
      </c>
      <c r="B27" t="s">
        <v>5060</v>
      </c>
      <c r="C27" t="s">
        <v>5061</v>
      </c>
      <c r="D27" t="s">
        <v>5066</v>
      </c>
      <c r="E27" t="s">
        <v>5067</v>
      </c>
      <c r="F27" t="s">
        <v>5023</v>
      </c>
      <c r="G27" t="s">
        <v>1552</v>
      </c>
    </row>
    <row r="28" ht="11.25" customHeight="1">
      <c r="A28" t="s">
        <v>14</v>
      </c>
      <c r="B28" t="s">
        <v>5060</v>
      </c>
      <c r="C28" t="s">
        <v>5061</v>
      </c>
      <c r="D28" t="s">
        <v>5068</v>
      </c>
      <c r="E28" t="s">
        <v>5069</v>
      </c>
      <c r="F28" t="s">
        <v>5023</v>
      </c>
      <c r="G28" t="s">
        <v>1560</v>
      </c>
    </row>
    <row r="29" ht="11.25" customHeight="1">
      <c r="A29" t="s">
        <v>14</v>
      </c>
      <c r="B29" t="s">
        <v>5070</v>
      </c>
      <c r="C29" t="s">
        <v>5071</v>
      </c>
      <c r="D29" t="s">
        <v>5070</v>
      </c>
      <c r="E29" t="s">
        <v>5071</v>
      </c>
      <c r="F29" t="s">
        <v>5014</v>
      </c>
      <c r="G29" t="s">
        <v>1561</v>
      </c>
    </row>
    <row r="30" ht="11.25" customHeight="1">
      <c r="A30" t="s">
        <v>14</v>
      </c>
      <c r="B30" t="s">
        <v>5070</v>
      </c>
      <c r="C30" t="s">
        <v>5071</v>
      </c>
      <c r="D30" t="s">
        <v>5072</v>
      </c>
      <c r="E30" t="s">
        <v>5073</v>
      </c>
      <c r="F30" t="s">
        <v>5017</v>
      </c>
      <c r="G30" t="s">
        <v>1564</v>
      </c>
    </row>
    <row r="31" ht="11.25" customHeight="1">
      <c r="A31" t="s">
        <v>14</v>
      </c>
      <c r="B31" t="s">
        <v>5070</v>
      </c>
      <c r="C31" t="s">
        <v>5071</v>
      </c>
      <c r="D31" t="s">
        <v>5074</v>
      </c>
      <c r="E31" t="s">
        <v>5075</v>
      </c>
      <c r="F31" t="s">
        <v>5023</v>
      </c>
      <c r="G31" t="s">
        <v>1570</v>
      </c>
    </row>
    <row r="32" ht="11.25" customHeight="1">
      <c r="A32" t="s">
        <v>14</v>
      </c>
      <c r="B32" t="s">
        <v>5070</v>
      </c>
      <c r="C32" t="s">
        <v>5071</v>
      </c>
      <c r="D32" t="s">
        <v>5076</v>
      </c>
      <c r="E32" t="s">
        <v>5077</v>
      </c>
      <c r="F32" t="s">
        <v>5023</v>
      </c>
      <c r="G32" t="s">
        <v>1572</v>
      </c>
    </row>
    <row r="33" ht="11.25" customHeight="1">
      <c r="A33" t="s">
        <v>14</v>
      </c>
      <c r="B33" t="s">
        <v>5070</v>
      </c>
      <c r="C33" t="s">
        <v>5071</v>
      </c>
      <c r="D33" t="s">
        <v>5078</v>
      </c>
      <c r="E33" t="s">
        <v>5079</v>
      </c>
      <c r="F33" t="s">
        <v>5023</v>
      </c>
      <c r="G33" t="s">
        <v>1574</v>
      </c>
    </row>
    <row r="34" ht="11.25" customHeight="1">
      <c r="A34" t="s">
        <v>14</v>
      </c>
      <c r="B34" t="s">
        <v>5070</v>
      </c>
      <c r="C34" t="s">
        <v>5071</v>
      </c>
      <c r="D34" t="s">
        <v>5080</v>
      </c>
      <c r="E34" t="s">
        <v>5081</v>
      </c>
      <c r="F34" t="s">
        <v>5023</v>
      </c>
      <c r="G34" t="s">
        <v>1576</v>
      </c>
    </row>
    <row r="35" ht="11.25" customHeight="1">
      <c r="A35" t="s">
        <v>14</v>
      </c>
      <c r="B35" t="s">
        <v>5070</v>
      </c>
      <c r="C35" t="s">
        <v>5071</v>
      </c>
      <c r="D35" t="s">
        <v>5082</v>
      </c>
      <c r="E35" t="s">
        <v>5083</v>
      </c>
      <c r="F35" t="s">
        <v>5023</v>
      </c>
      <c r="G35" t="s">
        <v>1581</v>
      </c>
    </row>
    <row r="36" ht="11.25" customHeight="1">
      <c r="A36" t="s">
        <v>14</v>
      </c>
      <c r="B36" t="s">
        <v>5070</v>
      </c>
      <c r="C36" t="s">
        <v>5071</v>
      </c>
      <c r="D36" t="s">
        <v>5084</v>
      </c>
      <c r="E36" t="s">
        <v>5085</v>
      </c>
      <c r="F36" t="s">
        <v>5023</v>
      </c>
      <c r="G36" t="s">
        <v>1586</v>
      </c>
    </row>
    <row r="37" ht="11.25" customHeight="1">
      <c r="A37" t="s">
        <v>14</v>
      </c>
      <c r="B37" t="s">
        <v>5070</v>
      </c>
      <c r="C37" t="s">
        <v>5071</v>
      </c>
      <c r="D37" t="s">
        <v>5086</v>
      </c>
      <c r="E37" t="s">
        <v>5087</v>
      </c>
      <c r="F37" t="s">
        <v>5023</v>
      </c>
      <c r="G37" t="s">
        <v>1590</v>
      </c>
    </row>
    <row r="38" ht="11.25" customHeight="1">
      <c r="A38" t="s">
        <v>14</v>
      </c>
      <c r="B38" t="s">
        <v>5070</v>
      </c>
      <c r="C38" t="s">
        <v>5071</v>
      </c>
      <c r="D38" t="s">
        <v>5058</v>
      </c>
      <c r="E38" t="s">
        <v>5088</v>
      </c>
      <c r="F38" t="s">
        <v>5023</v>
      </c>
      <c r="G38" t="s">
        <v>1598</v>
      </c>
    </row>
    <row r="39" ht="11.25" customHeight="1">
      <c r="A39" t="s">
        <v>14</v>
      </c>
      <c r="B39" t="s">
        <v>5070</v>
      </c>
      <c r="C39" t="s">
        <v>5071</v>
      </c>
      <c r="D39" t="s">
        <v>5089</v>
      </c>
      <c r="E39" t="s">
        <v>5090</v>
      </c>
      <c r="F39" t="s">
        <v>5023</v>
      </c>
      <c r="G39" t="s">
        <v>1604</v>
      </c>
    </row>
    <row r="40" ht="11.25" customHeight="1">
      <c r="A40" t="s">
        <v>14</v>
      </c>
      <c r="B40" t="s">
        <v>5070</v>
      </c>
      <c r="C40" t="s">
        <v>5071</v>
      </c>
      <c r="D40" t="s">
        <v>5091</v>
      </c>
      <c r="E40" t="s">
        <v>5092</v>
      </c>
      <c r="F40" t="s">
        <v>5023</v>
      </c>
      <c r="G40" t="s">
        <v>1609</v>
      </c>
    </row>
    <row r="41" ht="11.25" customHeight="1">
      <c r="A41" t="s">
        <v>14</v>
      </c>
      <c r="B41" t="s">
        <v>5093</v>
      </c>
      <c r="C41" t="s">
        <v>5094</v>
      </c>
      <c r="D41" t="s">
        <v>5095</v>
      </c>
      <c r="E41" t="s">
        <v>5096</v>
      </c>
      <c r="F41" t="s">
        <v>5023</v>
      </c>
      <c r="G41" t="s">
        <v>1613</v>
      </c>
    </row>
    <row r="42" ht="11.25" customHeight="1">
      <c r="A42" t="s">
        <v>14</v>
      </c>
      <c r="B42" t="s">
        <v>5093</v>
      </c>
      <c r="C42" t="s">
        <v>5094</v>
      </c>
      <c r="D42" t="s">
        <v>5097</v>
      </c>
      <c r="E42" t="s">
        <v>5098</v>
      </c>
      <c r="F42" t="s">
        <v>5023</v>
      </c>
      <c r="G42" t="s">
        <v>1616</v>
      </c>
    </row>
    <row r="43" ht="11.25" customHeight="1">
      <c r="A43" t="s">
        <v>14</v>
      </c>
      <c r="B43" t="s">
        <v>5093</v>
      </c>
      <c r="C43" t="s">
        <v>5094</v>
      </c>
      <c r="D43" t="s">
        <v>5093</v>
      </c>
      <c r="E43" t="s">
        <v>5094</v>
      </c>
      <c r="F43" t="s">
        <v>5014</v>
      </c>
      <c r="G43" t="s">
        <v>1623</v>
      </c>
    </row>
    <row r="44" ht="11.25" customHeight="1">
      <c r="A44" t="s">
        <v>14</v>
      </c>
      <c r="B44" t="s">
        <v>5093</v>
      </c>
      <c r="C44" t="s">
        <v>5094</v>
      </c>
      <c r="D44" t="s">
        <v>5099</v>
      </c>
      <c r="E44" t="s">
        <v>5100</v>
      </c>
      <c r="F44" t="s">
        <v>5023</v>
      </c>
      <c r="G44" t="s">
        <v>1632</v>
      </c>
    </row>
    <row r="45" ht="11.25" customHeight="1">
      <c r="A45" t="s">
        <v>14</v>
      </c>
      <c r="B45" t="s">
        <v>5093</v>
      </c>
      <c r="C45" t="s">
        <v>5094</v>
      </c>
      <c r="D45" t="s">
        <v>5101</v>
      </c>
      <c r="E45" t="s">
        <v>5102</v>
      </c>
      <c r="F45" t="s">
        <v>5023</v>
      </c>
      <c r="G45" t="s">
        <v>1637</v>
      </c>
    </row>
    <row r="46" ht="11.25" customHeight="1">
      <c r="A46" t="s">
        <v>14</v>
      </c>
      <c r="B46" t="s">
        <v>5093</v>
      </c>
      <c r="C46" t="s">
        <v>5094</v>
      </c>
      <c r="D46" t="s">
        <v>5103</v>
      </c>
      <c r="E46" t="s">
        <v>5104</v>
      </c>
      <c r="F46" t="s">
        <v>5023</v>
      </c>
      <c r="G46" t="s">
        <v>1640</v>
      </c>
    </row>
    <row r="47" ht="11.25" customHeight="1">
      <c r="A47" t="s">
        <v>14</v>
      </c>
      <c r="B47" t="s">
        <v>5093</v>
      </c>
      <c r="C47" t="s">
        <v>5094</v>
      </c>
      <c r="D47" t="s">
        <v>5105</v>
      </c>
      <c r="E47" t="s">
        <v>5106</v>
      </c>
      <c r="F47" t="s">
        <v>5023</v>
      </c>
      <c r="G47" t="s">
        <v>1646</v>
      </c>
    </row>
    <row r="48" ht="11.25" customHeight="1">
      <c r="A48" t="s">
        <v>14</v>
      </c>
      <c r="B48" t="s">
        <v>5093</v>
      </c>
      <c r="C48" t="s">
        <v>5094</v>
      </c>
      <c r="D48" t="s">
        <v>5107</v>
      </c>
      <c r="E48" t="s">
        <v>5108</v>
      </c>
      <c r="F48" t="s">
        <v>5023</v>
      </c>
      <c r="G48" t="s">
        <v>1651</v>
      </c>
    </row>
    <row r="49" ht="11.25" customHeight="1">
      <c r="A49" t="s">
        <v>14</v>
      </c>
      <c r="B49" t="s">
        <v>5093</v>
      </c>
      <c r="C49" t="s">
        <v>5094</v>
      </c>
      <c r="D49" t="s">
        <v>5109</v>
      </c>
      <c r="E49" t="s">
        <v>5110</v>
      </c>
      <c r="F49" t="s">
        <v>5023</v>
      </c>
      <c r="G49" t="s">
        <v>1654</v>
      </c>
    </row>
    <row r="50" ht="11.25" customHeight="1">
      <c r="A50" t="s">
        <v>14</v>
      </c>
      <c r="B50" t="s">
        <v>5111</v>
      </c>
      <c r="C50" t="s">
        <v>5112</v>
      </c>
      <c r="D50" t="s">
        <v>5113</v>
      </c>
      <c r="E50" t="s">
        <v>5114</v>
      </c>
      <c r="F50" t="s">
        <v>5023</v>
      </c>
      <c r="G50" t="s">
        <v>1658</v>
      </c>
    </row>
    <row r="51" ht="11.25" customHeight="1">
      <c r="A51" t="s">
        <v>14</v>
      </c>
      <c r="B51" t="s">
        <v>5111</v>
      </c>
      <c r="C51" t="s">
        <v>5112</v>
      </c>
      <c r="D51" t="s">
        <v>5115</v>
      </c>
      <c r="E51" t="s">
        <v>5116</v>
      </c>
      <c r="F51" t="s">
        <v>5023</v>
      </c>
      <c r="G51" t="s">
        <v>1663</v>
      </c>
    </row>
    <row r="52" ht="11.25" customHeight="1">
      <c r="A52" t="s">
        <v>14</v>
      </c>
      <c r="B52" t="s">
        <v>5111</v>
      </c>
      <c r="C52" t="s">
        <v>5112</v>
      </c>
      <c r="D52" t="s">
        <v>5117</v>
      </c>
      <c r="E52" t="s">
        <v>5118</v>
      </c>
      <c r="F52" t="s">
        <v>5023</v>
      </c>
      <c r="G52" t="s">
        <v>1667</v>
      </c>
    </row>
    <row r="53" ht="11.25" customHeight="1">
      <c r="A53" t="s">
        <v>14</v>
      </c>
      <c r="B53" t="s">
        <v>5111</v>
      </c>
      <c r="C53" t="s">
        <v>5112</v>
      </c>
      <c r="D53" t="s">
        <v>5119</v>
      </c>
      <c r="E53" t="s">
        <v>5120</v>
      </c>
      <c r="F53" t="s">
        <v>5023</v>
      </c>
      <c r="G53" t="s">
        <v>1669</v>
      </c>
    </row>
    <row r="54" ht="11.25" customHeight="1">
      <c r="A54" t="s">
        <v>14</v>
      </c>
      <c r="B54" t="s">
        <v>5111</v>
      </c>
      <c r="C54" t="s">
        <v>5112</v>
      </c>
      <c r="D54" t="s">
        <v>5111</v>
      </c>
      <c r="E54" t="s">
        <v>5112</v>
      </c>
      <c r="F54" t="s">
        <v>5014</v>
      </c>
      <c r="G54" t="s">
        <v>1672</v>
      </c>
    </row>
    <row r="55" ht="11.25" customHeight="1">
      <c r="A55" t="s">
        <v>14</v>
      </c>
      <c r="B55" t="s">
        <v>5111</v>
      </c>
      <c r="C55" t="s">
        <v>5112</v>
      </c>
      <c r="D55" t="s">
        <v>5121</v>
      </c>
      <c r="E55" t="s">
        <v>5122</v>
      </c>
      <c r="F55" t="s">
        <v>5023</v>
      </c>
      <c r="G55" t="s">
        <v>1676</v>
      </c>
    </row>
    <row r="56" ht="11.25" customHeight="1">
      <c r="A56" t="s">
        <v>14</v>
      </c>
      <c r="B56" t="s">
        <v>5111</v>
      </c>
      <c r="C56" t="s">
        <v>5112</v>
      </c>
      <c r="D56" t="s">
        <v>5123</v>
      </c>
      <c r="E56" t="s">
        <v>5124</v>
      </c>
      <c r="F56" t="s">
        <v>5023</v>
      </c>
      <c r="G56" t="s">
        <v>1679</v>
      </c>
    </row>
    <row r="57" ht="11.25" customHeight="1">
      <c r="A57" t="s">
        <v>14</v>
      </c>
      <c r="B57" t="s">
        <v>5111</v>
      </c>
      <c r="C57" t="s">
        <v>5112</v>
      </c>
      <c r="D57" t="s">
        <v>5125</v>
      </c>
      <c r="E57" t="s">
        <v>5126</v>
      </c>
      <c r="F57" t="s">
        <v>5023</v>
      </c>
      <c r="G57" t="s">
        <v>1682</v>
      </c>
    </row>
    <row r="58" ht="11.25" customHeight="1">
      <c r="A58" t="s">
        <v>14</v>
      </c>
      <c r="B58" t="s">
        <v>5111</v>
      </c>
      <c r="C58" t="s">
        <v>5112</v>
      </c>
      <c r="D58" t="s">
        <v>5127</v>
      </c>
      <c r="E58" t="s">
        <v>5128</v>
      </c>
      <c r="F58" t="s">
        <v>5023</v>
      </c>
      <c r="G58" t="s">
        <v>1685</v>
      </c>
    </row>
    <row r="59" ht="11.25" customHeight="1">
      <c r="A59" t="s">
        <v>14</v>
      </c>
      <c r="B59" t="s">
        <v>5111</v>
      </c>
      <c r="C59" t="s">
        <v>5112</v>
      </c>
      <c r="D59" t="s">
        <v>5129</v>
      </c>
      <c r="E59" t="s">
        <v>5130</v>
      </c>
      <c r="F59" t="s">
        <v>5023</v>
      </c>
      <c r="G59" t="s">
        <v>1689</v>
      </c>
    </row>
    <row r="60" ht="11.25" customHeight="1">
      <c r="A60" t="s">
        <v>14</v>
      </c>
      <c r="B60" t="s">
        <v>5111</v>
      </c>
      <c r="C60" t="s">
        <v>5112</v>
      </c>
      <c r="D60" t="s">
        <v>5131</v>
      </c>
      <c r="E60" t="s">
        <v>5132</v>
      </c>
      <c r="F60" t="s">
        <v>5023</v>
      </c>
      <c r="G60" t="s">
        <v>1692</v>
      </c>
    </row>
    <row r="61" ht="11.25" customHeight="1">
      <c r="A61" t="s">
        <v>14</v>
      </c>
      <c r="B61" t="s">
        <v>5133</v>
      </c>
      <c r="C61" t="s">
        <v>5134</v>
      </c>
      <c r="D61" t="s">
        <v>5133</v>
      </c>
      <c r="E61" t="s">
        <v>5134</v>
      </c>
      <c r="F61" t="s">
        <v>5135</v>
      </c>
      <c r="G61" t="s">
        <v>5136</v>
      </c>
    </row>
    <row r="62" ht="11.25" customHeight="1">
      <c r="A62" t="s">
        <v>14</v>
      </c>
      <c r="B62" t="s">
        <v>5137</v>
      </c>
      <c r="C62" t="s">
        <v>5138</v>
      </c>
      <c r="D62" t="s">
        <v>5137</v>
      </c>
      <c r="E62" t="s">
        <v>5138</v>
      </c>
      <c r="F62" t="s">
        <v>5135</v>
      </c>
      <c r="G62" t="s">
        <v>5139</v>
      </c>
    </row>
    <row r="63" ht="11.25" customHeight="1">
      <c r="A63" t="s">
        <v>14</v>
      </c>
      <c r="B63" t="s">
        <v>5140</v>
      </c>
      <c r="C63" t="s">
        <v>5141</v>
      </c>
      <c r="D63" t="s">
        <v>5140</v>
      </c>
      <c r="E63" t="s">
        <v>5141</v>
      </c>
      <c r="F63" t="s">
        <v>5135</v>
      </c>
      <c r="G63" t="s">
        <v>5142</v>
      </c>
    </row>
    <row r="64" ht="11.25" customHeight="1">
      <c r="A64" t="s">
        <v>14</v>
      </c>
      <c r="B64" t="s">
        <v>5143</v>
      </c>
      <c r="C64" t="s">
        <v>5144</v>
      </c>
      <c r="D64" t="s">
        <v>5143</v>
      </c>
      <c r="E64" t="s">
        <v>5144</v>
      </c>
      <c r="F64" t="s">
        <v>5135</v>
      </c>
      <c r="G64" t="s">
        <v>5145</v>
      </c>
    </row>
    <row r="65" ht="11.25" customHeight="1">
      <c r="A65" t="s">
        <v>14</v>
      </c>
      <c r="B65" t="s">
        <v>5146</v>
      </c>
      <c r="C65" t="s">
        <v>5147</v>
      </c>
      <c r="D65" t="s">
        <v>5146</v>
      </c>
      <c r="E65" t="s">
        <v>5147</v>
      </c>
      <c r="F65" t="s">
        <v>5135</v>
      </c>
      <c r="G65" t="s">
        <v>5148</v>
      </c>
    </row>
    <row r="66" ht="11.25" customHeight="1">
      <c r="A66" t="s">
        <v>14</v>
      </c>
      <c r="B66" t="s">
        <v>5149</v>
      </c>
      <c r="C66" t="s">
        <v>5150</v>
      </c>
      <c r="D66" t="s">
        <v>5149</v>
      </c>
      <c r="E66" t="s">
        <v>5150</v>
      </c>
      <c r="F66" t="s">
        <v>5135</v>
      </c>
      <c r="G66" t="s">
        <v>5151</v>
      </c>
    </row>
    <row r="67" ht="11.25" customHeight="1">
      <c r="A67" t="s">
        <v>14</v>
      </c>
      <c r="B67" t="s">
        <v>5152</v>
      </c>
      <c r="C67" t="s">
        <v>5153</v>
      </c>
      <c r="D67" t="s">
        <v>5154</v>
      </c>
      <c r="E67" t="s">
        <v>5155</v>
      </c>
      <c r="F67" t="s">
        <v>5023</v>
      </c>
      <c r="G67" t="s">
        <v>5156</v>
      </c>
    </row>
    <row r="68" ht="11.25" customHeight="1">
      <c r="A68" t="s">
        <v>14</v>
      </c>
      <c r="B68" t="s">
        <v>5152</v>
      </c>
      <c r="C68" t="s">
        <v>5153</v>
      </c>
      <c r="D68" t="s">
        <v>5157</v>
      </c>
      <c r="E68" t="s">
        <v>5158</v>
      </c>
      <c r="F68" t="s">
        <v>5020</v>
      </c>
      <c r="G68" t="s">
        <v>2124</v>
      </c>
    </row>
    <row r="69" ht="11.25" customHeight="1">
      <c r="A69" t="s">
        <v>14</v>
      </c>
      <c r="B69" t="s">
        <v>5152</v>
      </c>
      <c r="C69" t="s">
        <v>5153</v>
      </c>
      <c r="D69" t="s">
        <v>5152</v>
      </c>
      <c r="E69" t="s">
        <v>5153</v>
      </c>
      <c r="F69" t="s">
        <v>5014</v>
      </c>
      <c r="G69" t="s">
        <v>5159</v>
      </c>
    </row>
    <row r="70" ht="11.25" customHeight="1">
      <c r="A70" t="s">
        <v>14</v>
      </c>
      <c r="B70" t="s">
        <v>5152</v>
      </c>
      <c r="C70" t="s">
        <v>5153</v>
      </c>
      <c r="D70" t="s">
        <v>5160</v>
      </c>
      <c r="E70" t="s">
        <v>5161</v>
      </c>
      <c r="F70" t="s">
        <v>5017</v>
      </c>
      <c r="G70" t="s">
        <v>5162</v>
      </c>
    </row>
    <row r="71" ht="11.25" customHeight="1">
      <c r="A71" t="s">
        <v>14</v>
      </c>
      <c r="B71" t="s">
        <v>5152</v>
      </c>
      <c r="C71" t="s">
        <v>5153</v>
      </c>
      <c r="D71" t="s">
        <v>5163</v>
      </c>
      <c r="E71" t="s">
        <v>5164</v>
      </c>
      <c r="F71" t="s">
        <v>5023</v>
      </c>
      <c r="G71" t="s">
        <v>5165</v>
      </c>
    </row>
    <row r="72" ht="11.25" customHeight="1">
      <c r="A72" t="s">
        <v>14</v>
      </c>
      <c r="B72" t="s">
        <v>5152</v>
      </c>
      <c r="C72" t="s">
        <v>5153</v>
      </c>
      <c r="D72" t="s">
        <v>5166</v>
      </c>
      <c r="E72" t="s">
        <v>5167</v>
      </c>
      <c r="F72" t="s">
        <v>5020</v>
      </c>
      <c r="G72" t="s">
        <v>5168</v>
      </c>
    </row>
    <row r="73" ht="11.25" customHeight="1">
      <c r="A73" t="s">
        <v>14</v>
      </c>
      <c r="B73" t="s">
        <v>5152</v>
      </c>
      <c r="C73" t="s">
        <v>5153</v>
      </c>
      <c r="D73" t="s">
        <v>5169</v>
      </c>
      <c r="E73" t="s">
        <v>5170</v>
      </c>
      <c r="F73" t="s">
        <v>5023</v>
      </c>
      <c r="G73" t="s">
        <v>5171</v>
      </c>
    </row>
    <row r="74" ht="11.25" customHeight="1">
      <c r="A74" t="s">
        <v>14</v>
      </c>
      <c r="B74" t="s">
        <v>5152</v>
      </c>
      <c r="C74" t="s">
        <v>5153</v>
      </c>
      <c r="D74" t="s">
        <v>5172</v>
      </c>
      <c r="E74" t="s">
        <v>5173</v>
      </c>
      <c r="F74" t="s">
        <v>5023</v>
      </c>
      <c r="G74" t="s">
        <v>5174</v>
      </c>
    </row>
    <row r="75" ht="11.25" customHeight="1">
      <c r="A75" t="s">
        <v>14</v>
      </c>
      <c r="B75" t="s">
        <v>5152</v>
      </c>
      <c r="C75" t="s">
        <v>5153</v>
      </c>
      <c r="D75" t="s">
        <v>5175</v>
      </c>
      <c r="E75" t="s">
        <v>5176</v>
      </c>
      <c r="F75" t="s">
        <v>5023</v>
      </c>
      <c r="G75" t="s">
        <v>5177</v>
      </c>
    </row>
    <row r="76" ht="11.25" customHeight="1">
      <c r="A76" t="s">
        <v>14</v>
      </c>
      <c r="B76" t="s">
        <v>5152</v>
      </c>
      <c r="C76" t="s">
        <v>5153</v>
      </c>
      <c r="D76" t="s">
        <v>5178</v>
      </c>
      <c r="E76" t="s">
        <v>5179</v>
      </c>
      <c r="F76" t="s">
        <v>5023</v>
      </c>
      <c r="G76" t="s">
        <v>5180</v>
      </c>
    </row>
    <row r="77" ht="11.25" customHeight="1">
      <c r="A77" t="s">
        <v>14</v>
      </c>
      <c r="B77" t="s">
        <v>5152</v>
      </c>
      <c r="C77" t="s">
        <v>5153</v>
      </c>
      <c r="D77" t="s">
        <v>5181</v>
      </c>
      <c r="E77" t="s">
        <v>5182</v>
      </c>
      <c r="F77" t="s">
        <v>5023</v>
      </c>
      <c r="G77" t="s">
        <v>5183</v>
      </c>
    </row>
    <row r="78" ht="11.25" customHeight="1">
      <c r="A78" t="s">
        <v>14</v>
      </c>
      <c r="B78" t="s">
        <v>5152</v>
      </c>
      <c r="C78" t="s">
        <v>5153</v>
      </c>
      <c r="D78" t="s">
        <v>5184</v>
      </c>
      <c r="E78" t="s">
        <v>5185</v>
      </c>
      <c r="F78" t="s">
        <v>5023</v>
      </c>
      <c r="G78" t="s">
        <v>5186</v>
      </c>
    </row>
    <row r="79" ht="11.25" customHeight="1">
      <c r="A79" t="s">
        <v>14</v>
      </c>
      <c r="B79" t="s">
        <v>5152</v>
      </c>
      <c r="C79" t="s">
        <v>5153</v>
      </c>
      <c r="D79" t="s">
        <v>5187</v>
      </c>
      <c r="E79" t="s">
        <v>5188</v>
      </c>
      <c r="F79" t="s">
        <v>5023</v>
      </c>
      <c r="G79" t="s">
        <v>5189</v>
      </c>
    </row>
    <row r="80" ht="11.25" customHeight="1">
      <c r="A80" t="s">
        <v>14</v>
      </c>
      <c r="B80" t="s">
        <v>5152</v>
      </c>
      <c r="C80" t="s">
        <v>5153</v>
      </c>
      <c r="D80" t="s">
        <v>5190</v>
      </c>
      <c r="E80" t="s">
        <v>5191</v>
      </c>
      <c r="F80" t="s">
        <v>5023</v>
      </c>
      <c r="G80" t="s">
        <v>5192</v>
      </c>
    </row>
    <row r="81" ht="11.25" customHeight="1">
      <c r="A81" t="s">
        <v>14</v>
      </c>
      <c r="B81" t="s">
        <v>5152</v>
      </c>
      <c r="C81" t="s">
        <v>5153</v>
      </c>
      <c r="D81" t="s">
        <v>5193</v>
      </c>
      <c r="E81" t="s">
        <v>5194</v>
      </c>
      <c r="F81" t="s">
        <v>5023</v>
      </c>
      <c r="G81" t="s">
        <v>5195</v>
      </c>
    </row>
    <row r="82" ht="11.25" customHeight="1">
      <c r="A82" t="s">
        <v>14</v>
      </c>
      <c r="B82" t="s">
        <v>5152</v>
      </c>
      <c r="C82" t="s">
        <v>5153</v>
      </c>
      <c r="D82" t="s">
        <v>5196</v>
      </c>
      <c r="E82" t="s">
        <v>5197</v>
      </c>
      <c r="F82" t="s">
        <v>5023</v>
      </c>
      <c r="G82" t="s">
        <v>5198</v>
      </c>
    </row>
    <row r="83" ht="11.25" customHeight="1">
      <c r="A83" t="s">
        <v>14</v>
      </c>
      <c r="B83" t="s">
        <v>5199</v>
      </c>
      <c r="C83" t="s">
        <v>5200</v>
      </c>
      <c r="D83" t="s">
        <v>5201</v>
      </c>
      <c r="E83" t="s">
        <v>5202</v>
      </c>
      <c r="F83" t="s">
        <v>5023</v>
      </c>
      <c r="G83" t="s">
        <v>5203</v>
      </c>
    </row>
    <row r="84" ht="11.25" customHeight="1">
      <c r="A84" t="s">
        <v>14</v>
      </c>
      <c r="B84" t="s">
        <v>5199</v>
      </c>
      <c r="C84" t="s">
        <v>5200</v>
      </c>
      <c r="D84" t="s">
        <v>5204</v>
      </c>
      <c r="E84" t="s">
        <v>5205</v>
      </c>
      <c r="F84" t="s">
        <v>5023</v>
      </c>
      <c r="G84" t="s">
        <v>5206</v>
      </c>
    </row>
    <row r="85" ht="11.25" customHeight="1">
      <c r="A85" t="s">
        <v>14</v>
      </c>
      <c r="B85" t="s">
        <v>5199</v>
      </c>
      <c r="C85" t="s">
        <v>5200</v>
      </c>
      <c r="D85" t="s">
        <v>5199</v>
      </c>
      <c r="E85" t="s">
        <v>5200</v>
      </c>
      <c r="F85" t="s">
        <v>5014</v>
      </c>
      <c r="G85" t="s">
        <v>5207</v>
      </c>
    </row>
    <row r="86" ht="11.25" customHeight="1">
      <c r="A86" t="s">
        <v>14</v>
      </c>
      <c r="B86" t="s">
        <v>5199</v>
      </c>
      <c r="C86" t="s">
        <v>5200</v>
      </c>
      <c r="D86" t="s">
        <v>5208</v>
      </c>
      <c r="E86" t="s">
        <v>5209</v>
      </c>
      <c r="F86" t="s">
        <v>5023</v>
      </c>
      <c r="G86" t="s">
        <v>5210</v>
      </c>
    </row>
    <row r="87" ht="11.25" customHeight="1">
      <c r="A87" t="s">
        <v>14</v>
      </c>
      <c r="B87" t="s">
        <v>5199</v>
      </c>
      <c r="C87" t="s">
        <v>5200</v>
      </c>
      <c r="D87" t="s">
        <v>5211</v>
      </c>
      <c r="E87" t="s">
        <v>5212</v>
      </c>
      <c r="F87" t="s">
        <v>5023</v>
      </c>
      <c r="G87" t="s">
        <v>5213</v>
      </c>
    </row>
    <row r="88" ht="11.25" customHeight="1">
      <c r="A88" t="s">
        <v>14</v>
      </c>
      <c r="B88" t="s">
        <v>5199</v>
      </c>
      <c r="C88" t="s">
        <v>5200</v>
      </c>
      <c r="D88" t="s">
        <v>5214</v>
      </c>
      <c r="E88" t="s">
        <v>5215</v>
      </c>
      <c r="F88" t="s">
        <v>5023</v>
      </c>
      <c r="G88" t="s">
        <v>5216</v>
      </c>
    </row>
    <row r="89" ht="11.25" customHeight="1">
      <c r="A89" t="s">
        <v>14</v>
      </c>
      <c r="B89" t="s">
        <v>5199</v>
      </c>
      <c r="C89" t="s">
        <v>5200</v>
      </c>
      <c r="D89" t="s">
        <v>5217</v>
      </c>
      <c r="E89" t="s">
        <v>5218</v>
      </c>
      <c r="F89" t="s">
        <v>5023</v>
      </c>
      <c r="G89" t="s">
        <v>5219</v>
      </c>
    </row>
    <row r="90" ht="11.25" customHeight="1">
      <c r="A90" t="s">
        <v>14</v>
      </c>
      <c r="B90" t="s">
        <v>5199</v>
      </c>
      <c r="C90" t="s">
        <v>5200</v>
      </c>
      <c r="D90" t="s">
        <v>5220</v>
      </c>
      <c r="E90" t="s">
        <v>5221</v>
      </c>
      <c r="F90" t="s">
        <v>5023</v>
      </c>
      <c r="G90" t="s">
        <v>5222</v>
      </c>
    </row>
    <row r="91" ht="11.25" customHeight="1">
      <c r="A91" t="s">
        <v>14</v>
      </c>
      <c r="B91" t="s">
        <v>5199</v>
      </c>
      <c r="C91" t="s">
        <v>5200</v>
      </c>
      <c r="D91" t="s">
        <v>5223</v>
      </c>
      <c r="E91" t="s">
        <v>5224</v>
      </c>
      <c r="F91" t="s">
        <v>5023</v>
      </c>
      <c r="G91" t="s">
        <v>5225</v>
      </c>
    </row>
    <row r="92" ht="11.25" customHeight="1">
      <c r="A92" t="s">
        <v>14</v>
      </c>
      <c r="B92" t="s">
        <v>5199</v>
      </c>
      <c r="C92" t="s">
        <v>5200</v>
      </c>
      <c r="D92" t="s">
        <v>5226</v>
      </c>
      <c r="E92" t="s">
        <v>5227</v>
      </c>
      <c r="F92" t="s">
        <v>5023</v>
      </c>
      <c r="G92" t="s">
        <v>5228</v>
      </c>
    </row>
    <row r="93" ht="11.25" customHeight="1">
      <c r="A93" t="s">
        <v>14</v>
      </c>
      <c r="B93" t="s">
        <v>5199</v>
      </c>
      <c r="C93" t="s">
        <v>5200</v>
      </c>
      <c r="D93" t="s">
        <v>5229</v>
      </c>
      <c r="E93" t="s">
        <v>5230</v>
      </c>
      <c r="F93" t="s">
        <v>5023</v>
      </c>
      <c r="G93" t="s">
        <v>5231</v>
      </c>
    </row>
    <row r="94" ht="11.25" customHeight="1">
      <c r="A94" t="s">
        <v>14</v>
      </c>
      <c r="B94" t="s">
        <v>5232</v>
      </c>
      <c r="C94" t="s">
        <v>5233</v>
      </c>
      <c r="D94" t="s">
        <v>5234</v>
      </c>
      <c r="E94" t="s">
        <v>5235</v>
      </c>
      <c r="F94" t="s">
        <v>5023</v>
      </c>
      <c r="G94" t="s">
        <v>5236</v>
      </c>
    </row>
    <row r="95" ht="11.25" customHeight="1">
      <c r="A95" t="s">
        <v>14</v>
      </c>
      <c r="B95" t="s">
        <v>5232</v>
      </c>
      <c r="C95" t="s">
        <v>5233</v>
      </c>
      <c r="D95" t="s">
        <v>5237</v>
      </c>
      <c r="E95" t="s">
        <v>5238</v>
      </c>
      <c r="F95" t="s">
        <v>5023</v>
      </c>
      <c r="G95" t="s">
        <v>5239</v>
      </c>
    </row>
    <row r="96" ht="11.25" customHeight="1">
      <c r="A96" t="s">
        <v>14</v>
      </c>
      <c r="B96" t="s">
        <v>5232</v>
      </c>
      <c r="C96" t="s">
        <v>5233</v>
      </c>
      <c r="D96" t="s">
        <v>5232</v>
      </c>
      <c r="E96" t="s">
        <v>5233</v>
      </c>
      <c r="F96" t="s">
        <v>5014</v>
      </c>
      <c r="G96" t="s">
        <v>5240</v>
      </c>
    </row>
    <row r="97" ht="11.25" customHeight="1">
      <c r="A97" t="s">
        <v>14</v>
      </c>
      <c r="B97" t="s">
        <v>5232</v>
      </c>
      <c r="C97" t="s">
        <v>5233</v>
      </c>
      <c r="D97" t="s">
        <v>5241</v>
      </c>
      <c r="E97" t="s">
        <v>5242</v>
      </c>
      <c r="F97" t="s">
        <v>5023</v>
      </c>
      <c r="G97" t="s">
        <v>5243</v>
      </c>
    </row>
    <row r="98" ht="11.25" customHeight="1">
      <c r="A98" t="s">
        <v>14</v>
      </c>
      <c r="B98" t="s">
        <v>5232</v>
      </c>
      <c r="C98" t="s">
        <v>5233</v>
      </c>
      <c r="D98" t="s">
        <v>5244</v>
      </c>
      <c r="E98" t="s">
        <v>5245</v>
      </c>
      <c r="F98" t="s">
        <v>5017</v>
      </c>
      <c r="G98" t="s">
        <v>5246</v>
      </c>
    </row>
    <row r="99" ht="11.25" customHeight="1">
      <c r="A99" t="s">
        <v>14</v>
      </c>
      <c r="B99" t="s">
        <v>5232</v>
      </c>
      <c r="C99" t="s">
        <v>5233</v>
      </c>
      <c r="D99" t="s">
        <v>5247</v>
      </c>
      <c r="E99" t="s">
        <v>5248</v>
      </c>
      <c r="F99" t="s">
        <v>5023</v>
      </c>
      <c r="G99" t="s">
        <v>5249</v>
      </c>
    </row>
    <row r="100" ht="11.25" customHeight="1">
      <c r="A100" t="s">
        <v>14</v>
      </c>
      <c r="B100" t="s">
        <v>5232</v>
      </c>
      <c r="C100" t="s">
        <v>5233</v>
      </c>
      <c r="D100" t="s">
        <v>5250</v>
      </c>
      <c r="E100" t="s">
        <v>5251</v>
      </c>
      <c r="F100" t="s">
        <v>5023</v>
      </c>
      <c r="G100" t="s">
        <v>5252</v>
      </c>
    </row>
    <row r="101" ht="11.25" customHeight="1">
      <c r="A101" t="s">
        <v>14</v>
      </c>
      <c r="B101" t="s">
        <v>5232</v>
      </c>
      <c r="C101" t="s">
        <v>5233</v>
      </c>
      <c r="D101" t="s">
        <v>5253</v>
      </c>
      <c r="E101" t="s">
        <v>5254</v>
      </c>
      <c r="F101" t="s">
        <v>5023</v>
      </c>
      <c r="G101" t="s">
        <v>5255</v>
      </c>
    </row>
    <row r="102" ht="11.25" customHeight="1">
      <c r="A102" t="s">
        <v>14</v>
      </c>
      <c r="B102" t="s">
        <v>5232</v>
      </c>
      <c r="C102" t="s">
        <v>5233</v>
      </c>
      <c r="D102" t="s">
        <v>5256</v>
      </c>
      <c r="E102" t="s">
        <v>5257</v>
      </c>
      <c r="F102" t="s">
        <v>5023</v>
      </c>
      <c r="G102" t="s">
        <v>5258</v>
      </c>
    </row>
    <row r="103" ht="11.25" customHeight="1">
      <c r="A103" t="s">
        <v>14</v>
      </c>
      <c r="B103" t="s">
        <v>5232</v>
      </c>
      <c r="C103" t="s">
        <v>5233</v>
      </c>
      <c r="D103" t="s">
        <v>5259</v>
      </c>
      <c r="E103" t="s">
        <v>5260</v>
      </c>
      <c r="F103" t="s">
        <v>5023</v>
      </c>
      <c r="G103" t="s">
        <v>5261</v>
      </c>
    </row>
    <row r="104" ht="11.25" customHeight="1">
      <c r="A104" t="s">
        <v>14</v>
      </c>
      <c r="B104" t="s">
        <v>5232</v>
      </c>
      <c r="C104" t="s">
        <v>5233</v>
      </c>
      <c r="D104" t="s">
        <v>5262</v>
      </c>
      <c r="E104" t="s">
        <v>5263</v>
      </c>
      <c r="F104" t="s">
        <v>5023</v>
      </c>
      <c r="G104" t="s">
        <v>5264</v>
      </c>
    </row>
    <row r="105" ht="11.25" customHeight="1">
      <c r="A105" t="s">
        <v>14</v>
      </c>
      <c r="B105" t="s">
        <v>5232</v>
      </c>
      <c r="C105" t="s">
        <v>5233</v>
      </c>
      <c r="D105" t="s">
        <v>5265</v>
      </c>
      <c r="E105" t="s">
        <v>5266</v>
      </c>
      <c r="F105" t="s">
        <v>5023</v>
      </c>
      <c r="G105" t="s">
        <v>5267</v>
      </c>
    </row>
    <row r="106" ht="11.25" customHeight="1">
      <c r="A106" t="s">
        <v>14</v>
      </c>
      <c r="B106" t="s">
        <v>5268</v>
      </c>
      <c r="C106" t="s">
        <v>5269</v>
      </c>
      <c r="D106" t="s">
        <v>5270</v>
      </c>
      <c r="E106" t="s">
        <v>5271</v>
      </c>
      <c r="F106" t="s">
        <v>5023</v>
      </c>
      <c r="G106" t="s">
        <v>5272</v>
      </c>
    </row>
    <row r="107" ht="11.25" customHeight="1">
      <c r="A107" t="s">
        <v>14</v>
      </c>
      <c r="B107" t="s">
        <v>5268</v>
      </c>
      <c r="C107" t="s">
        <v>5269</v>
      </c>
      <c r="D107" t="s">
        <v>5268</v>
      </c>
      <c r="E107" t="s">
        <v>5269</v>
      </c>
      <c r="F107" t="s">
        <v>5014</v>
      </c>
      <c r="G107" t="s">
        <v>5273</v>
      </c>
    </row>
    <row r="108" ht="11.25" customHeight="1">
      <c r="A108" t="s">
        <v>14</v>
      </c>
      <c r="B108" t="s">
        <v>5268</v>
      </c>
      <c r="C108" t="s">
        <v>5269</v>
      </c>
      <c r="D108" t="s">
        <v>5274</v>
      </c>
      <c r="E108" t="s">
        <v>5275</v>
      </c>
      <c r="F108" t="s">
        <v>5023</v>
      </c>
      <c r="G108" t="s">
        <v>5276</v>
      </c>
    </row>
    <row r="109" ht="11.25" customHeight="1">
      <c r="A109" t="s">
        <v>14</v>
      </c>
      <c r="B109" t="s">
        <v>5268</v>
      </c>
      <c r="C109" t="s">
        <v>5269</v>
      </c>
      <c r="D109" t="s">
        <v>5277</v>
      </c>
      <c r="E109" t="s">
        <v>5278</v>
      </c>
      <c r="F109" t="s">
        <v>5023</v>
      </c>
      <c r="G109" t="s">
        <v>5279</v>
      </c>
    </row>
    <row r="110" ht="11.25" customHeight="1">
      <c r="A110" t="s">
        <v>14</v>
      </c>
      <c r="B110" t="s">
        <v>5268</v>
      </c>
      <c r="C110" t="s">
        <v>5269</v>
      </c>
      <c r="D110" t="s">
        <v>5280</v>
      </c>
      <c r="E110" t="s">
        <v>5281</v>
      </c>
      <c r="F110" t="s">
        <v>5017</v>
      </c>
      <c r="G110" t="s">
        <v>5282</v>
      </c>
    </row>
    <row r="111" ht="11.25" customHeight="1">
      <c r="A111" t="s">
        <v>14</v>
      </c>
      <c r="B111" t="s">
        <v>5268</v>
      </c>
      <c r="C111" t="s">
        <v>5269</v>
      </c>
      <c r="D111" t="s">
        <v>5283</v>
      </c>
      <c r="E111" t="s">
        <v>5284</v>
      </c>
      <c r="F111" t="s">
        <v>5023</v>
      </c>
      <c r="G111" t="s">
        <v>5285</v>
      </c>
    </row>
    <row r="112" ht="11.25" customHeight="1">
      <c r="A112" t="s">
        <v>14</v>
      </c>
      <c r="B112" t="s">
        <v>5268</v>
      </c>
      <c r="C112" t="s">
        <v>5269</v>
      </c>
      <c r="D112" t="s">
        <v>5286</v>
      </c>
      <c r="E112" t="s">
        <v>5287</v>
      </c>
      <c r="F112" t="s">
        <v>5023</v>
      </c>
      <c r="G112" t="s">
        <v>5288</v>
      </c>
    </row>
    <row r="113" ht="11.25" customHeight="1">
      <c r="A113" t="s">
        <v>14</v>
      </c>
      <c r="B113" t="s">
        <v>5268</v>
      </c>
      <c r="C113" t="s">
        <v>5269</v>
      </c>
      <c r="D113" t="s">
        <v>5289</v>
      </c>
      <c r="E113" t="s">
        <v>5290</v>
      </c>
      <c r="F113" t="s">
        <v>5023</v>
      </c>
      <c r="G113" t="s">
        <v>5291</v>
      </c>
    </row>
    <row r="114" ht="11.25" customHeight="1">
      <c r="A114" t="s">
        <v>14</v>
      </c>
      <c r="B114" t="s">
        <v>5268</v>
      </c>
      <c r="C114" t="s">
        <v>5269</v>
      </c>
      <c r="D114" t="s">
        <v>5292</v>
      </c>
      <c r="E114" t="s">
        <v>5293</v>
      </c>
      <c r="F114" t="s">
        <v>5023</v>
      </c>
      <c r="G114" t="s">
        <v>5294</v>
      </c>
    </row>
    <row r="115" ht="11.25" customHeight="1">
      <c r="A115" t="s">
        <v>14</v>
      </c>
      <c r="B115" t="s">
        <v>5268</v>
      </c>
      <c r="C115" t="s">
        <v>5269</v>
      </c>
      <c r="D115" t="s">
        <v>5295</v>
      </c>
      <c r="E115" t="s">
        <v>5296</v>
      </c>
      <c r="F115" t="s">
        <v>5023</v>
      </c>
      <c r="G115" t="s">
        <v>5297</v>
      </c>
    </row>
    <row r="116" ht="11.25" customHeight="1">
      <c r="A116" t="s">
        <v>14</v>
      </c>
      <c r="B116" t="s">
        <v>5298</v>
      </c>
      <c r="C116" t="s">
        <v>5299</v>
      </c>
      <c r="D116" t="s">
        <v>5300</v>
      </c>
      <c r="E116" t="s">
        <v>5301</v>
      </c>
      <c r="F116" t="s">
        <v>5023</v>
      </c>
      <c r="G116" t="s">
        <v>5302</v>
      </c>
    </row>
    <row r="117" ht="11.25" customHeight="1">
      <c r="A117" t="s">
        <v>14</v>
      </c>
      <c r="B117" t="s">
        <v>5298</v>
      </c>
      <c r="C117" t="s">
        <v>5299</v>
      </c>
      <c r="D117" t="s">
        <v>5303</v>
      </c>
      <c r="E117" t="s">
        <v>5304</v>
      </c>
      <c r="F117" t="s">
        <v>5023</v>
      </c>
      <c r="G117" t="s">
        <v>5305</v>
      </c>
    </row>
    <row r="118" ht="11.25" customHeight="1">
      <c r="A118" t="s">
        <v>14</v>
      </c>
      <c r="B118" t="s">
        <v>5298</v>
      </c>
      <c r="C118" t="s">
        <v>5299</v>
      </c>
      <c r="D118" t="s">
        <v>5306</v>
      </c>
      <c r="E118" t="s">
        <v>5307</v>
      </c>
      <c r="F118" t="s">
        <v>5023</v>
      </c>
      <c r="G118" t="s">
        <v>5308</v>
      </c>
    </row>
    <row r="119" ht="11.25" customHeight="1">
      <c r="A119" t="s">
        <v>14</v>
      </c>
      <c r="B119" t="s">
        <v>5298</v>
      </c>
      <c r="C119" t="s">
        <v>5299</v>
      </c>
      <c r="D119" t="s">
        <v>5309</v>
      </c>
      <c r="E119" t="s">
        <v>5310</v>
      </c>
      <c r="F119" t="s">
        <v>5023</v>
      </c>
      <c r="G119" t="s">
        <v>5311</v>
      </c>
    </row>
    <row r="120" ht="11.25" customHeight="1">
      <c r="A120" t="s">
        <v>14</v>
      </c>
      <c r="B120" t="s">
        <v>5298</v>
      </c>
      <c r="C120" t="s">
        <v>5299</v>
      </c>
      <c r="D120" t="s">
        <v>5298</v>
      </c>
      <c r="E120" t="s">
        <v>5299</v>
      </c>
      <c r="F120" t="s">
        <v>5014</v>
      </c>
      <c r="G120" t="s">
        <v>5312</v>
      </c>
    </row>
    <row r="121" ht="11.25" customHeight="1">
      <c r="A121" t="s">
        <v>14</v>
      </c>
      <c r="B121" t="s">
        <v>5298</v>
      </c>
      <c r="C121" t="s">
        <v>5299</v>
      </c>
      <c r="D121" t="s">
        <v>5313</v>
      </c>
      <c r="E121" t="s">
        <v>5314</v>
      </c>
      <c r="F121" t="s">
        <v>5023</v>
      </c>
      <c r="G121" t="s">
        <v>5315</v>
      </c>
    </row>
    <row r="122" ht="11.25" customHeight="1">
      <c r="A122" t="s">
        <v>14</v>
      </c>
      <c r="B122" t="s">
        <v>5298</v>
      </c>
      <c r="C122" t="s">
        <v>5299</v>
      </c>
      <c r="D122" t="s">
        <v>5316</v>
      </c>
      <c r="E122" t="s">
        <v>5317</v>
      </c>
      <c r="F122" t="s">
        <v>5023</v>
      </c>
      <c r="G122" t="s">
        <v>5318</v>
      </c>
    </row>
    <row r="123" ht="11.25" customHeight="1">
      <c r="A123" t="s">
        <v>14</v>
      </c>
      <c r="B123" t="s">
        <v>5298</v>
      </c>
      <c r="C123" t="s">
        <v>5299</v>
      </c>
      <c r="D123" t="s">
        <v>5319</v>
      </c>
      <c r="E123" t="s">
        <v>5320</v>
      </c>
      <c r="F123" t="s">
        <v>5023</v>
      </c>
      <c r="G123" t="s">
        <v>5321</v>
      </c>
    </row>
    <row r="124" ht="11.25" customHeight="1">
      <c r="A124" t="s">
        <v>14</v>
      </c>
      <c r="B124" t="s">
        <v>5298</v>
      </c>
      <c r="C124" t="s">
        <v>5299</v>
      </c>
      <c r="D124" t="s">
        <v>5322</v>
      </c>
      <c r="E124" t="s">
        <v>5323</v>
      </c>
      <c r="F124" t="s">
        <v>5023</v>
      </c>
      <c r="G124" t="s">
        <v>5324</v>
      </c>
    </row>
    <row r="125" ht="11.25" customHeight="1">
      <c r="A125" t="s">
        <v>14</v>
      </c>
      <c r="B125" t="s">
        <v>5325</v>
      </c>
      <c r="C125" t="s">
        <v>5326</v>
      </c>
      <c r="D125" t="s">
        <v>5327</v>
      </c>
      <c r="E125" t="s">
        <v>5328</v>
      </c>
      <c r="F125" t="s">
        <v>5023</v>
      </c>
      <c r="G125" t="s">
        <v>5329</v>
      </c>
    </row>
    <row r="126" ht="11.25" customHeight="1">
      <c r="A126" t="s">
        <v>14</v>
      </c>
      <c r="B126" t="s">
        <v>5325</v>
      </c>
      <c r="C126" t="s">
        <v>5326</v>
      </c>
      <c r="D126" t="s">
        <v>5325</v>
      </c>
      <c r="E126" t="s">
        <v>5326</v>
      </c>
      <c r="F126" t="s">
        <v>5014</v>
      </c>
      <c r="G126" t="s">
        <v>5330</v>
      </c>
    </row>
    <row r="127" ht="11.25" customHeight="1">
      <c r="A127" t="s">
        <v>14</v>
      </c>
      <c r="B127" t="s">
        <v>5325</v>
      </c>
      <c r="C127" t="s">
        <v>5326</v>
      </c>
      <c r="D127" t="s">
        <v>5331</v>
      </c>
      <c r="E127" t="s">
        <v>5332</v>
      </c>
      <c r="F127" t="s">
        <v>5023</v>
      </c>
      <c r="G127" t="s">
        <v>5333</v>
      </c>
    </row>
    <row r="128" ht="11.25" customHeight="1">
      <c r="A128" t="s">
        <v>14</v>
      </c>
      <c r="B128" t="s">
        <v>5325</v>
      </c>
      <c r="C128" t="s">
        <v>5326</v>
      </c>
      <c r="D128" t="s">
        <v>5334</v>
      </c>
      <c r="E128" t="s">
        <v>5335</v>
      </c>
      <c r="F128" t="s">
        <v>5023</v>
      </c>
      <c r="G128" t="s">
        <v>5336</v>
      </c>
    </row>
    <row r="129" ht="11.25" customHeight="1">
      <c r="A129" t="s">
        <v>14</v>
      </c>
      <c r="B129" t="s">
        <v>5325</v>
      </c>
      <c r="C129" t="s">
        <v>5326</v>
      </c>
      <c r="D129" t="s">
        <v>5337</v>
      </c>
      <c r="E129" t="s">
        <v>5338</v>
      </c>
      <c r="F129" t="s">
        <v>5023</v>
      </c>
      <c r="G129" t="s">
        <v>5339</v>
      </c>
    </row>
    <row r="130" ht="11.25" customHeight="1">
      <c r="A130" t="s">
        <v>14</v>
      </c>
      <c r="B130" t="s">
        <v>5325</v>
      </c>
      <c r="C130" t="s">
        <v>5326</v>
      </c>
      <c r="D130" t="s">
        <v>5340</v>
      </c>
      <c r="E130" t="s">
        <v>5341</v>
      </c>
      <c r="F130" t="s">
        <v>5023</v>
      </c>
      <c r="G130" t="s">
        <v>5342</v>
      </c>
    </row>
    <row r="131" ht="11.25" customHeight="1">
      <c r="A131" t="s">
        <v>14</v>
      </c>
      <c r="B131" t="s">
        <v>5325</v>
      </c>
      <c r="C131" t="s">
        <v>5326</v>
      </c>
      <c r="D131" t="s">
        <v>5343</v>
      </c>
      <c r="E131" t="s">
        <v>5344</v>
      </c>
      <c r="F131" t="s">
        <v>5023</v>
      </c>
      <c r="G131" t="s">
        <v>5345</v>
      </c>
    </row>
    <row r="132" ht="11.25" customHeight="1">
      <c r="A132" t="s">
        <v>14</v>
      </c>
      <c r="B132" t="s">
        <v>5325</v>
      </c>
      <c r="C132" t="s">
        <v>5326</v>
      </c>
      <c r="D132" t="s">
        <v>5346</v>
      </c>
      <c r="E132" t="s">
        <v>5347</v>
      </c>
      <c r="F132" t="s">
        <v>5023</v>
      </c>
      <c r="G132" t="s">
        <v>5348</v>
      </c>
    </row>
    <row r="133" ht="11.25" customHeight="1">
      <c r="A133" t="s">
        <v>14</v>
      </c>
      <c r="B133" t="s">
        <v>5325</v>
      </c>
      <c r="C133" t="s">
        <v>5326</v>
      </c>
      <c r="D133" t="s">
        <v>5349</v>
      </c>
      <c r="E133" t="s">
        <v>5350</v>
      </c>
      <c r="F133" t="s">
        <v>5023</v>
      </c>
      <c r="G133" t="s">
        <v>5351</v>
      </c>
    </row>
    <row r="134" ht="11.25" customHeight="1">
      <c r="A134" t="s">
        <v>14</v>
      </c>
      <c r="B134" t="s">
        <v>5325</v>
      </c>
      <c r="C134" t="s">
        <v>5326</v>
      </c>
      <c r="D134" t="s">
        <v>5352</v>
      </c>
      <c r="E134" t="s">
        <v>5353</v>
      </c>
      <c r="F134" t="s">
        <v>5023</v>
      </c>
      <c r="G134" t="s">
        <v>5354</v>
      </c>
    </row>
    <row r="135" ht="11.25" customHeight="1">
      <c r="A135" t="s">
        <v>14</v>
      </c>
      <c r="B135" t="s">
        <v>5355</v>
      </c>
      <c r="C135" t="s">
        <v>5356</v>
      </c>
      <c r="D135" t="s">
        <v>5357</v>
      </c>
      <c r="E135" t="s">
        <v>5358</v>
      </c>
      <c r="F135" t="s">
        <v>5023</v>
      </c>
      <c r="G135" t="s">
        <v>5359</v>
      </c>
    </row>
    <row r="136" ht="11.25" customHeight="1">
      <c r="A136" t="s">
        <v>14</v>
      </c>
      <c r="B136" t="s">
        <v>5355</v>
      </c>
      <c r="C136" t="s">
        <v>5356</v>
      </c>
      <c r="D136" t="s">
        <v>5360</v>
      </c>
      <c r="E136" t="s">
        <v>5361</v>
      </c>
      <c r="F136" t="s">
        <v>5023</v>
      </c>
      <c r="G136" t="s">
        <v>5362</v>
      </c>
    </row>
    <row r="137" ht="11.25" customHeight="1">
      <c r="A137" t="s">
        <v>14</v>
      </c>
      <c r="B137" t="s">
        <v>5355</v>
      </c>
      <c r="C137" t="s">
        <v>5356</v>
      </c>
      <c r="D137" t="s">
        <v>5363</v>
      </c>
      <c r="E137" t="s">
        <v>5364</v>
      </c>
      <c r="F137" t="s">
        <v>5023</v>
      </c>
      <c r="G137" t="s">
        <v>5365</v>
      </c>
    </row>
    <row r="138" ht="11.25" customHeight="1">
      <c r="A138" t="s">
        <v>14</v>
      </c>
      <c r="B138" t="s">
        <v>5355</v>
      </c>
      <c r="C138" t="s">
        <v>5356</v>
      </c>
      <c r="D138" t="s">
        <v>5366</v>
      </c>
      <c r="E138" t="s">
        <v>5367</v>
      </c>
      <c r="F138" t="s">
        <v>5023</v>
      </c>
      <c r="G138" t="s">
        <v>5368</v>
      </c>
    </row>
    <row r="139" ht="11.25" customHeight="1">
      <c r="A139" t="s">
        <v>14</v>
      </c>
      <c r="B139" t="s">
        <v>5355</v>
      </c>
      <c r="C139" t="s">
        <v>5356</v>
      </c>
      <c r="D139" t="s">
        <v>5355</v>
      </c>
      <c r="E139" t="s">
        <v>5356</v>
      </c>
      <c r="F139" t="s">
        <v>5014</v>
      </c>
      <c r="G139" t="s">
        <v>5369</v>
      </c>
    </row>
    <row r="140" ht="11.25" customHeight="1">
      <c r="A140" t="s">
        <v>14</v>
      </c>
      <c r="B140" t="s">
        <v>5355</v>
      </c>
      <c r="C140" t="s">
        <v>5356</v>
      </c>
      <c r="D140" t="s">
        <v>5370</v>
      </c>
      <c r="E140" t="s">
        <v>5371</v>
      </c>
      <c r="F140" t="s">
        <v>5017</v>
      </c>
      <c r="G140" t="s">
        <v>5372</v>
      </c>
    </row>
    <row r="141" ht="11.25" customHeight="1">
      <c r="A141" t="s">
        <v>14</v>
      </c>
      <c r="B141" t="s">
        <v>5355</v>
      </c>
      <c r="C141" t="s">
        <v>5356</v>
      </c>
      <c r="D141" t="s">
        <v>5373</v>
      </c>
      <c r="E141" t="s">
        <v>5374</v>
      </c>
      <c r="F141" t="s">
        <v>5023</v>
      </c>
      <c r="G141" t="s">
        <v>5375</v>
      </c>
    </row>
    <row r="142" ht="11.25" customHeight="1">
      <c r="A142" t="s">
        <v>14</v>
      </c>
      <c r="B142" t="s">
        <v>5355</v>
      </c>
      <c r="C142" t="s">
        <v>5356</v>
      </c>
      <c r="D142" t="s">
        <v>5376</v>
      </c>
      <c r="E142" t="s">
        <v>5377</v>
      </c>
      <c r="F142" t="s">
        <v>5023</v>
      </c>
      <c r="G142" t="s">
        <v>5378</v>
      </c>
    </row>
    <row r="143" ht="11.25" customHeight="1">
      <c r="A143" t="s">
        <v>14</v>
      </c>
      <c r="B143" t="s">
        <v>5355</v>
      </c>
      <c r="C143" t="s">
        <v>5356</v>
      </c>
      <c r="D143" t="s">
        <v>5379</v>
      </c>
      <c r="E143" t="s">
        <v>5380</v>
      </c>
      <c r="F143" t="s">
        <v>5023</v>
      </c>
      <c r="G143" t="s">
        <v>5381</v>
      </c>
    </row>
    <row r="144" ht="11.25" customHeight="1">
      <c r="A144" t="s">
        <v>14</v>
      </c>
      <c r="B144" t="s">
        <v>5355</v>
      </c>
      <c r="C144" t="s">
        <v>5356</v>
      </c>
      <c r="D144" t="s">
        <v>5382</v>
      </c>
      <c r="E144" t="s">
        <v>5383</v>
      </c>
      <c r="F144" t="s">
        <v>5023</v>
      </c>
      <c r="G144" t="s">
        <v>5384</v>
      </c>
    </row>
    <row r="145" ht="11.25" customHeight="1">
      <c r="A145" t="s">
        <v>14</v>
      </c>
      <c r="B145" t="s">
        <v>5355</v>
      </c>
      <c r="C145" t="s">
        <v>5356</v>
      </c>
      <c r="D145" t="s">
        <v>5385</v>
      </c>
      <c r="E145" t="s">
        <v>5386</v>
      </c>
      <c r="F145" t="s">
        <v>5023</v>
      </c>
      <c r="G145" t="s">
        <v>5387</v>
      </c>
    </row>
    <row r="146" ht="11.25" customHeight="1">
      <c r="A146" t="s">
        <v>14</v>
      </c>
      <c r="B146" t="s">
        <v>5388</v>
      </c>
      <c r="C146" t="s">
        <v>5389</v>
      </c>
      <c r="D146" t="s">
        <v>5390</v>
      </c>
      <c r="E146" t="s">
        <v>5391</v>
      </c>
      <c r="F146" t="s">
        <v>5023</v>
      </c>
      <c r="G146" t="s">
        <v>5392</v>
      </c>
    </row>
    <row r="147" ht="11.25" customHeight="1">
      <c r="A147" t="s">
        <v>14</v>
      </c>
      <c r="B147" t="s">
        <v>5388</v>
      </c>
      <c r="C147" t="s">
        <v>5389</v>
      </c>
      <c r="D147" t="s">
        <v>5388</v>
      </c>
      <c r="E147" t="s">
        <v>5389</v>
      </c>
      <c r="F147" t="s">
        <v>5014</v>
      </c>
      <c r="G147" t="s">
        <v>5393</v>
      </c>
    </row>
    <row r="148" ht="11.25" customHeight="1">
      <c r="A148" t="s">
        <v>14</v>
      </c>
      <c r="B148" t="s">
        <v>5388</v>
      </c>
      <c r="C148" t="s">
        <v>5389</v>
      </c>
      <c r="D148" t="s">
        <v>5394</v>
      </c>
      <c r="E148" t="s">
        <v>5395</v>
      </c>
      <c r="F148" t="s">
        <v>5023</v>
      </c>
      <c r="G148" t="s">
        <v>5396</v>
      </c>
    </row>
    <row r="149" ht="11.25" customHeight="1">
      <c r="A149" t="s">
        <v>14</v>
      </c>
      <c r="B149" t="s">
        <v>5388</v>
      </c>
      <c r="C149" t="s">
        <v>5389</v>
      </c>
      <c r="D149" t="s">
        <v>5397</v>
      </c>
      <c r="E149" t="s">
        <v>5398</v>
      </c>
      <c r="F149" t="s">
        <v>5023</v>
      </c>
      <c r="G149" t="s">
        <v>5399</v>
      </c>
    </row>
    <row r="150" ht="11.25" customHeight="1">
      <c r="A150" t="s">
        <v>14</v>
      </c>
      <c r="B150" t="s">
        <v>5388</v>
      </c>
      <c r="C150" t="s">
        <v>5389</v>
      </c>
      <c r="D150" t="s">
        <v>5400</v>
      </c>
      <c r="E150" t="s">
        <v>5401</v>
      </c>
      <c r="F150" t="s">
        <v>5023</v>
      </c>
      <c r="G150" t="s">
        <v>5402</v>
      </c>
    </row>
    <row r="151" ht="11.25" customHeight="1">
      <c r="A151" t="s">
        <v>14</v>
      </c>
      <c r="B151" t="s">
        <v>5388</v>
      </c>
      <c r="C151" t="s">
        <v>5389</v>
      </c>
      <c r="D151" t="s">
        <v>5403</v>
      </c>
      <c r="E151" t="s">
        <v>5404</v>
      </c>
      <c r="F151" t="s">
        <v>5023</v>
      </c>
      <c r="G151" t="s">
        <v>5405</v>
      </c>
    </row>
    <row r="152" ht="11.25" customHeight="1">
      <c r="A152" t="s">
        <v>14</v>
      </c>
      <c r="B152" t="s">
        <v>5388</v>
      </c>
      <c r="C152" t="s">
        <v>5389</v>
      </c>
      <c r="D152" t="s">
        <v>5406</v>
      </c>
      <c r="E152" t="s">
        <v>5407</v>
      </c>
      <c r="F152" t="s">
        <v>5023</v>
      </c>
      <c r="G152" t="s">
        <v>5408</v>
      </c>
    </row>
    <row r="153" ht="11.25" customHeight="1">
      <c r="A153" t="s">
        <v>14</v>
      </c>
      <c r="B153" t="s">
        <v>5388</v>
      </c>
      <c r="C153" t="s">
        <v>5389</v>
      </c>
      <c r="D153" t="s">
        <v>5409</v>
      </c>
      <c r="E153" t="s">
        <v>5410</v>
      </c>
      <c r="F153" t="s">
        <v>5023</v>
      </c>
      <c r="G153" t="s">
        <v>5411</v>
      </c>
    </row>
    <row r="154" ht="11.25" customHeight="1">
      <c r="A154" t="s">
        <v>14</v>
      </c>
      <c r="B154" t="s">
        <v>5388</v>
      </c>
      <c r="C154" t="s">
        <v>5389</v>
      </c>
      <c r="D154" t="s">
        <v>5412</v>
      </c>
      <c r="E154" t="s">
        <v>5413</v>
      </c>
      <c r="F154" t="s">
        <v>5023</v>
      </c>
      <c r="G154" t="s">
        <v>5414</v>
      </c>
    </row>
    <row r="155" ht="11.25" customHeight="1">
      <c r="A155" t="s">
        <v>14</v>
      </c>
      <c r="B155" t="s">
        <v>5388</v>
      </c>
      <c r="C155" t="s">
        <v>5389</v>
      </c>
      <c r="D155" t="s">
        <v>5415</v>
      </c>
      <c r="E155" t="s">
        <v>5416</v>
      </c>
      <c r="F155" t="s">
        <v>5023</v>
      </c>
      <c r="G155" t="s">
        <v>5417</v>
      </c>
    </row>
    <row r="156" ht="11.25" customHeight="1">
      <c r="A156" t="s">
        <v>14</v>
      </c>
      <c r="B156" t="s">
        <v>5388</v>
      </c>
      <c r="C156" t="s">
        <v>5389</v>
      </c>
      <c r="D156" t="s">
        <v>5418</v>
      </c>
      <c r="E156" t="s">
        <v>5419</v>
      </c>
      <c r="F156" t="s">
        <v>5023</v>
      </c>
      <c r="G156" t="s">
        <v>5420</v>
      </c>
    </row>
    <row r="157" ht="11.25" customHeight="1">
      <c r="A157" t="s">
        <v>14</v>
      </c>
      <c r="B157" t="s">
        <v>5421</v>
      </c>
      <c r="C157" t="s">
        <v>5422</v>
      </c>
      <c r="D157" t="s">
        <v>5421</v>
      </c>
      <c r="E157" t="s">
        <v>5422</v>
      </c>
      <c r="F157" t="s">
        <v>5014</v>
      </c>
      <c r="G157" t="s">
        <v>5423</v>
      </c>
    </row>
    <row r="158" ht="11.25" customHeight="1">
      <c r="A158" t="s">
        <v>14</v>
      </c>
      <c r="B158" t="s">
        <v>5421</v>
      </c>
      <c r="C158" t="s">
        <v>5422</v>
      </c>
      <c r="D158" t="s">
        <v>5424</v>
      </c>
      <c r="E158" t="s">
        <v>5425</v>
      </c>
      <c r="F158" t="s">
        <v>5023</v>
      </c>
      <c r="G158" t="s">
        <v>5426</v>
      </c>
    </row>
    <row r="159" ht="11.25" customHeight="1">
      <c r="A159" t="s">
        <v>14</v>
      </c>
      <c r="B159" t="s">
        <v>5421</v>
      </c>
      <c r="C159" t="s">
        <v>5422</v>
      </c>
      <c r="D159" t="s">
        <v>5427</v>
      </c>
      <c r="E159" t="s">
        <v>5428</v>
      </c>
      <c r="F159" t="s">
        <v>5023</v>
      </c>
      <c r="G159" t="s">
        <v>5429</v>
      </c>
    </row>
    <row r="160" ht="11.25" customHeight="1">
      <c r="A160" t="s">
        <v>14</v>
      </c>
      <c r="B160" t="s">
        <v>5421</v>
      </c>
      <c r="C160" t="s">
        <v>5422</v>
      </c>
      <c r="D160" t="s">
        <v>5430</v>
      </c>
      <c r="E160" t="s">
        <v>5431</v>
      </c>
      <c r="F160" t="s">
        <v>5023</v>
      </c>
      <c r="G160" t="s">
        <v>5432</v>
      </c>
    </row>
    <row r="161" ht="11.25" customHeight="1">
      <c r="A161" t="s">
        <v>14</v>
      </c>
      <c r="B161" t="s">
        <v>5421</v>
      </c>
      <c r="C161" t="s">
        <v>5422</v>
      </c>
      <c r="D161" t="s">
        <v>5433</v>
      </c>
      <c r="E161" t="s">
        <v>5434</v>
      </c>
      <c r="F161" t="s">
        <v>5023</v>
      </c>
      <c r="G161" t="s">
        <v>5435</v>
      </c>
    </row>
    <row r="162" ht="11.25" customHeight="1">
      <c r="A162" t="s">
        <v>14</v>
      </c>
      <c r="B162" t="s">
        <v>5421</v>
      </c>
      <c r="C162" t="s">
        <v>5422</v>
      </c>
      <c r="D162" t="s">
        <v>5400</v>
      </c>
      <c r="E162" t="s">
        <v>5436</v>
      </c>
      <c r="F162" t="s">
        <v>5023</v>
      </c>
      <c r="G162" t="s">
        <v>5437</v>
      </c>
    </row>
    <row r="163" ht="11.25" customHeight="1">
      <c r="A163" t="s">
        <v>14</v>
      </c>
      <c r="B163" t="s">
        <v>5421</v>
      </c>
      <c r="C163" t="s">
        <v>5422</v>
      </c>
      <c r="D163" t="s">
        <v>5438</v>
      </c>
      <c r="E163" t="s">
        <v>5439</v>
      </c>
      <c r="F163" t="s">
        <v>5023</v>
      </c>
      <c r="G163" t="s">
        <v>5440</v>
      </c>
    </row>
    <row r="164" ht="11.25" customHeight="1">
      <c r="A164" t="s">
        <v>14</v>
      </c>
      <c r="B164" t="s">
        <v>5441</v>
      </c>
      <c r="C164" t="s">
        <v>5442</v>
      </c>
      <c r="D164" t="s">
        <v>5443</v>
      </c>
      <c r="E164" t="s">
        <v>5444</v>
      </c>
      <c r="F164" t="s">
        <v>5023</v>
      </c>
      <c r="G164" t="s">
        <v>5445</v>
      </c>
    </row>
    <row r="165" ht="11.25" customHeight="1">
      <c r="A165" t="s">
        <v>14</v>
      </c>
      <c r="B165" t="s">
        <v>5441</v>
      </c>
      <c r="C165" t="s">
        <v>5442</v>
      </c>
      <c r="D165" t="s">
        <v>5446</v>
      </c>
      <c r="E165" t="s">
        <v>5447</v>
      </c>
      <c r="F165" t="s">
        <v>5023</v>
      </c>
      <c r="G165" t="s">
        <v>5448</v>
      </c>
    </row>
    <row r="166" ht="11.25" customHeight="1">
      <c r="A166" t="s">
        <v>14</v>
      </c>
      <c r="B166" t="s">
        <v>5441</v>
      </c>
      <c r="C166" t="s">
        <v>5442</v>
      </c>
      <c r="D166" t="s">
        <v>5449</v>
      </c>
      <c r="E166" t="s">
        <v>5450</v>
      </c>
      <c r="F166" t="s">
        <v>5023</v>
      </c>
      <c r="G166" t="s">
        <v>5451</v>
      </c>
    </row>
    <row r="167" ht="11.25" customHeight="1">
      <c r="A167" t="s">
        <v>14</v>
      </c>
      <c r="B167" t="s">
        <v>5441</v>
      </c>
      <c r="C167" t="s">
        <v>5442</v>
      </c>
      <c r="D167" t="s">
        <v>5452</v>
      </c>
      <c r="E167" t="s">
        <v>5453</v>
      </c>
      <c r="F167" t="s">
        <v>5023</v>
      </c>
      <c r="G167" t="s">
        <v>5454</v>
      </c>
    </row>
    <row r="168" ht="11.25" customHeight="1">
      <c r="A168" t="s">
        <v>14</v>
      </c>
      <c r="B168" t="s">
        <v>5441</v>
      </c>
      <c r="C168" t="s">
        <v>5442</v>
      </c>
      <c r="D168" t="s">
        <v>5441</v>
      </c>
      <c r="E168" t="s">
        <v>5442</v>
      </c>
      <c r="F168" t="s">
        <v>5014</v>
      </c>
      <c r="G168" t="s">
        <v>5455</v>
      </c>
    </row>
    <row r="169" ht="11.25" customHeight="1">
      <c r="A169" t="s">
        <v>14</v>
      </c>
      <c r="B169" t="s">
        <v>5441</v>
      </c>
      <c r="C169" t="s">
        <v>5442</v>
      </c>
      <c r="D169" t="s">
        <v>5456</v>
      </c>
      <c r="E169" t="s">
        <v>5457</v>
      </c>
      <c r="F169" t="s">
        <v>5017</v>
      </c>
      <c r="G169" t="s">
        <v>5458</v>
      </c>
    </row>
    <row r="170" ht="11.25" customHeight="1">
      <c r="A170" t="s">
        <v>14</v>
      </c>
      <c r="B170" t="s">
        <v>5441</v>
      </c>
      <c r="C170" t="s">
        <v>5442</v>
      </c>
      <c r="D170" t="s">
        <v>5459</v>
      </c>
      <c r="E170" t="s">
        <v>5460</v>
      </c>
      <c r="F170" t="s">
        <v>5023</v>
      </c>
      <c r="G170" t="s">
        <v>5461</v>
      </c>
    </row>
    <row r="171" ht="11.25" customHeight="1">
      <c r="A171" t="s">
        <v>14</v>
      </c>
      <c r="B171" t="s">
        <v>5441</v>
      </c>
      <c r="C171" t="s">
        <v>5442</v>
      </c>
      <c r="D171" t="s">
        <v>5462</v>
      </c>
      <c r="E171" t="s">
        <v>5463</v>
      </c>
      <c r="F171" t="s">
        <v>5023</v>
      </c>
      <c r="G171" t="s">
        <v>5464</v>
      </c>
    </row>
    <row r="172" ht="11.25" customHeight="1">
      <c r="A172" t="s">
        <v>14</v>
      </c>
      <c r="B172" t="s">
        <v>5441</v>
      </c>
      <c r="C172" t="s">
        <v>5442</v>
      </c>
      <c r="D172" t="s">
        <v>5465</v>
      </c>
      <c r="E172" t="s">
        <v>5466</v>
      </c>
      <c r="F172" t="s">
        <v>5023</v>
      </c>
      <c r="G172" t="s">
        <v>5467</v>
      </c>
    </row>
    <row r="173" ht="11.25" customHeight="1">
      <c r="A173" t="s">
        <v>14</v>
      </c>
      <c r="B173" t="s">
        <v>5441</v>
      </c>
      <c r="C173" t="s">
        <v>5442</v>
      </c>
      <c r="D173" t="s">
        <v>5468</v>
      </c>
      <c r="E173" t="s">
        <v>5469</v>
      </c>
      <c r="F173" t="s">
        <v>5023</v>
      </c>
      <c r="G173" t="s">
        <v>5470</v>
      </c>
    </row>
    <row r="174" ht="11.25" customHeight="1">
      <c r="A174" t="s">
        <v>14</v>
      </c>
      <c r="B174" t="s">
        <v>5441</v>
      </c>
      <c r="C174" t="s">
        <v>5442</v>
      </c>
      <c r="D174" t="s">
        <v>5471</v>
      </c>
      <c r="E174" t="s">
        <v>5472</v>
      </c>
      <c r="F174" t="s">
        <v>5023</v>
      </c>
      <c r="G174" t="s">
        <v>5473</v>
      </c>
    </row>
    <row r="175" ht="11.25" customHeight="1">
      <c r="A175" t="s">
        <v>14</v>
      </c>
      <c r="B175" t="s">
        <v>5441</v>
      </c>
      <c r="C175" t="s">
        <v>5442</v>
      </c>
      <c r="D175" t="s">
        <v>5474</v>
      </c>
      <c r="E175" t="s">
        <v>5475</v>
      </c>
      <c r="F175" t="s">
        <v>5023</v>
      </c>
      <c r="G175" t="s">
        <v>5476</v>
      </c>
    </row>
    <row r="176" ht="11.25" customHeight="1">
      <c r="A176" t="s">
        <v>14</v>
      </c>
      <c r="B176" t="s">
        <v>5477</v>
      </c>
      <c r="C176" t="s">
        <v>5478</v>
      </c>
      <c r="D176" t="s">
        <v>5479</v>
      </c>
      <c r="E176" t="s">
        <v>5480</v>
      </c>
      <c r="F176" t="s">
        <v>5023</v>
      </c>
      <c r="G176" t="s">
        <v>5481</v>
      </c>
    </row>
    <row r="177" ht="11.25" customHeight="1">
      <c r="A177" t="s">
        <v>14</v>
      </c>
      <c r="B177" t="s">
        <v>5477</v>
      </c>
      <c r="C177" t="s">
        <v>5478</v>
      </c>
      <c r="D177" t="s">
        <v>5482</v>
      </c>
      <c r="E177" t="s">
        <v>5483</v>
      </c>
      <c r="F177" t="s">
        <v>5023</v>
      </c>
      <c r="G177" t="s">
        <v>5484</v>
      </c>
    </row>
    <row r="178" ht="11.25" customHeight="1">
      <c r="A178" t="s">
        <v>14</v>
      </c>
      <c r="B178" t="s">
        <v>5477</v>
      </c>
      <c r="C178" t="s">
        <v>5478</v>
      </c>
      <c r="D178" t="s">
        <v>5485</v>
      </c>
      <c r="E178" t="s">
        <v>5486</v>
      </c>
      <c r="F178" t="s">
        <v>5023</v>
      </c>
      <c r="G178" t="s">
        <v>5487</v>
      </c>
    </row>
    <row r="179" ht="11.25" customHeight="1">
      <c r="A179" t="s">
        <v>14</v>
      </c>
      <c r="B179" t="s">
        <v>5477</v>
      </c>
      <c r="C179" t="s">
        <v>5478</v>
      </c>
      <c r="D179" t="s">
        <v>5477</v>
      </c>
      <c r="E179" t="s">
        <v>5478</v>
      </c>
      <c r="F179" t="s">
        <v>5014</v>
      </c>
      <c r="G179" t="s">
        <v>5488</v>
      </c>
    </row>
    <row r="180" ht="11.25" customHeight="1">
      <c r="A180" t="s">
        <v>14</v>
      </c>
      <c r="B180" t="s">
        <v>5477</v>
      </c>
      <c r="C180" t="s">
        <v>5478</v>
      </c>
      <c r="D180" t="s">
        <v>5489</v>
      </c>
      <c r="E180" t="s">
        <v>5490</v>
      </c>
      <c r="F180" t="s">
        <v>5017</v>
      </c>
      <c r="G180" t="s">
        <v>5491</v>
      </c>
    </row>
    <row r="181" ht="11.25" customHeight="1">
      <c r="A181" t="s">
        <v>14</v>
      </c>
      <c r="B181" t="s">
        <v>5477</v>
      </c>
      <c r="C181" t="s">
        <v>5478</v>
      </c>
      <c r="D181" t="s">
        <v>5492</v>
      </c>
      <c r="E181" t="s">
        <v>5493</v>
      </c>
      <c r="F181" t="s">
        <v>5023</v>
      </c>
      <c r="G181" t="s">
        <v>5494</v>
      </c>
    </row>
    <row r="182" ht="11.25" customHeight="1">
      <c r="A182" t="s">
        <v>14</v>
      </c>
      <c r="B182" t="s">
        <v>5477</v>
      </c>
      <c r="C182" t="s">
        <v>5478</v>
      </c>
      <c r="D182" t="s">
        <v>5495</v>
      </c>
      <c r="E182" t="s">
        <v>5496</v>
      </c>
      <c r="F182" t="s">
        <v>5023</v>
      </c>
      <c r="G182" t="s">
        <v>5497</v>
      </c>
    </row>
    <row r="183" ht="11.25" customHeight="1">
      <c r="A183" t="s">
        <v>14</v>
      </c>
      <c r="B183" t="s">
        <v>5477</v>
      </c>
      <c r="C183" t="s">
        <v>5478</v>
      </c>
      <c r="D183" t="s">
        <v>5400</v>
      </c>
      <c r="E183" t="s">
        <v>5498</v>
      </c>
      <c r="F183" t="s">
        <v>5023</v>
      </c>
      <c r="G183" t="s">
        <v>5499</v>
      </c>
    </row>
    <row r="184" ht="11.25" customHeight="1">
      <c r="A184" t="s">
        <v>14</v>
      </c>
      <c r="B184" t="s">
        <v>5477</v>
      </c>
      <c r="C184" t="s">
        <v>5478</v>
      </c>
      <c r="D184" t="s">
        <v>5500</v>
      </c>
      <c r="E184" t="s">
        <v>5501</v>
      </c>
      <c r="F184" t="s">
        <v>5023</v>
      </c>
      <c r="G184" t="s">
        <v>5502</v>
      </c>
    </row>
    <row r="185" ht="11.25" customHeight="1">
      <c r="A185" t="s">
        <v>14</v>
      </c>
      <c r="B185" t="s">
        <v>5477</v>
      </c>
      <c r="C185" t="s">
        <v>5478</v>
      </c>
      <c r="D185" t="s">
        <v>5084</v>
      </c>
      <c r="E185" t="s">
        <v>5503</v>
      </c>
      <c r="F185" t="s">
        <v>5023</v>
      </c>
      <c r="G185" t="s">
        <v>5504</v>
      </c>
    </row>
    <row r="186" ht="11.25" customHeight="1">
      <c r="A186" t="s">
        <v>14</v>
      </c>
      <c r="B186" t="s">
        <v>5477</v>
      </c>
      <c r="C186" t="s">
        <v>5478</v>
      </c>
      <c r="D186" t="s">
        <v>5505</v>
      </c>
      <c r="E186" t="s">
        <v>5506</v>
      </c>
      <c r="F186" t="s">
        <v>5023</v>
      </c>
      <c r="G186" t="s">
        <v>5507</v>
      </c>
    </row>
    <row r="187" ht="11.25" customHeight="1">
      <c r="A187" t="s">
        <v>14</v>
      </c>
      <c r="B187" t="s">
        <v>5508</v>
      </c>
      <c r="C187" t="s">
        <v>5509</v>
      </c>
      <c r="D187" t="s">
        <v>5510</v>
      </c>
      <c r="E187" t="s">
        <v>5511</v>
      </c>
      <c r="F187" t="s">
        <v>5023</v>
      </c>
      <c r="G187" t="s">
        <v>5512</v>
      </c>
    </row>
    <row r="188" ht="11.25" customHeight="1">
      <c r="A188" t="s">
        <v>14</v>
      </c>
      <c r="B188" t="s">
        <v>5508</v>
      </c>
      <c r="C188" t="s">
        <v>5509</v>
      </c>
      <c r="D188" t="s">
        <v>5513</v>
      </c>
      <c r="E188" t="s">
        <v>5514</v>
      </c>
      <c r="F188" t="s">
        <v>5023</v>
      </c>
      <c r="G188" t="s">
        <v>5515</v>
      </c>
    </row>
    <row r="189" ht="11.25" customHeight="1">
      <c r="A189" t="s">
        <v>14</v>
      </c>
      <c r="B189" t="s">
        <v>5508</v>
      </c>
      <c r="C189" t="s">
        <v>5509</v>
      </c>
      <c r="D189" t="s">
        <v>5516</v>
      </c>
      <c r="E189" t="s">
        <v>5517</v>
      </c>
      <c r="F189" t="s">
        <v>5023</v>
      </c>
      <c r="G189" t="s">
        <v>5518</v>
      </c>
    </row>
    <row r="190" ht="11.25" customHeight="1">
      <c r="A190" t="s">
        <v>14</v>
      </c>
      <c r="B190" t="s">
        <v>5508</v>
      </c>
      <c r="C190" t="s">
        <v>5509</v>
      </c>
      <c r="D190" t="s">
        <v>5519</v>
      </c>
      <c r="E190" t="s">
        <v>5520</v>
      </c>
      <c r="F190" t="s">
        <v>5023</v>
      </c>
      <c r="G190" t="s">
        <v>5521</v>
      </c>
    </row>
    <row r="191" ht="11.25" customHeight="1">
      <c r="A191" t="s">
        <v>14</v>
      </c>
      <c r="B191" t="s">
        <v>5508</v>
      </c>
      <c r="C191" t="s">
        <v>5509</v>
      </c>
      <c r="D191" t="s">
        <v>5208</v>
      </c>
      <c r="E191" t="s">
        <v>5522</v>
      </c>
      <c r="F191" t="s">
        <v>5023</v>
      </c>
      <c r="G191" t="s">
        <v>5523</v>
      </c>
    </row>
    <row r="192" ht="11.25" customHeight="1">
      <c r="A192" t="s">
        <v>14</v>
      </c>
      <c r="B192" t="s">
        <v>5508</v>
      </c>
      <c r="C192" t="s">
        <v>5509</v>
      </c>
      <c r="D192" t="s">
        <v>5508</v>
      </c>
      <c r="E192" t="s">
        <v>5509</v>
      </c>
      <c r="F192" t="s">
        <v>5014</v>
      </c>
      <c r="G192" t="s">
        <v>5524</v>
      </c>
    </row>
    <row r="193" ht="11.25" customHeight="1">
      <c r="A193" t="s">
        <v>14</v>
      </c>
      <c r="B193" t="s">
        <v>5508</v>
      </c>
      <c r="C193" t="s">
        <v>5509</v>
      </c>
      <c r="D193" t="s">
        <v>5525</v>
      </c>
      <c r="E193" t="s">
        <v>5526</v>
      </c>
      <c r="F193" t="s">
        <v>5023</v>
      </c>
      <c r="G193" t="s">
        <v>5527</v>
      </c>
    </row>
    <row r="194" ht="11.25" customHeight="1">
      <c r="A194" t="s">
        <v>14</v>
      </c>
      <c r="B194" t="s">
        <v>5508</v>
      </c>
      <c r="C194" t="s">
        <v>5509</v>
      </c>
      <c r="D194" t="s">
        <v>5528</v>
      </c>
      <c r="E194" t="s">
        <v>5529</v>
      </c>
      <c r="F194" t="s">
        <v>5023</v>
      </c>
      <c r="G194" t="s">
        <v>5530</v>
      </c>
    </row>
    <row r="195" ht="11.25" customHeight="1">
      <c r="A195" t="s">
        <v>14</v>
      </c>
      <c r="B195" t="s">
        <v>5508</v>
      </c>
      <c r="C195" t="s">
        <v>5509</v>
      </c>
      <c r="D195" t="s">
        <v>5080</v>
      </c>
      <c r="E195" t="s">
        <v>5531</v>
      </c>
      <c r="F195" t="s">
        <v>5023</v>
      </c>
      <c r="G195" t="s">
        <v>5532</v>
      </c>
    </row>
    <row r="196" ht="11.25" customHeight="1">
      <c r="A196" t="s">
        <v>14</v>
      </c>
      <c r="B196" t="s">
        <v>5508</v>
      </c>
      <c r="C196" t="s">
        <v>5509</v>
      </c>
      <c r="D196" t="s">
        <v>5533</v>
      </c>
      <c r="E196" t="s">
        <v>5534</v>
      </c>
      <c r="F196" t="s">
        <v>5023</v>
      </c>
      <c r="G196" t="s">
        <v>5535</v>
      </c>
    </row>
    <row r="197" ht="11.25" customHeight="1">
      <c r="A197" t="s">
        <v>14</v>
      </c>
      <c r="B197" t="s">
        <v>5508</v>
      </c>
      <c r="C197" t="s">
        <v>5509</v>
      </c>
      <c r="D197" t="s">
        <v>5382</v>
      </c>
      <c r="E197" t="s">
        <v>5536</v>
      </c>
      <c r="F197" t="s">
        <v>5023</v>
      </c>
      <c r="G197" t="s">
        <v>5537</v>
      </c>
    </row>
    <row r="198" ht="11.25" customHeight="1">
      <c r="A198" t="s">
        <v>14</v>
      </c>
      <c r="B198" t="s">
        <v>5508</v>
      </c>
      <c r="C198" t="s">
        <v>5509</v>
      </c>
      <c r="D198" t="s">
        <v>5538</v>
      </c>
      <c r="E198" t="s">
        <v>5539</v>
      </c>
      <c r="F198" t="s">
        <v>5023</v>
      </c>
      <c r="G198" t="s">
        <v>5540</v>
      </c>
    </row>
    <row r="199" ht="11.25" customHeight="1">
      <c r="A199" t="s">
        <v>14</v>
      </c>
      <c r="B199" t="s">
        <v>5508</v>
      </c>
      <c r="C199" t="s">
        <v>5509</v>
      </c>
      <c r="D199" t="s">
        <v>5541</v>
      </c>
      <c r="E199" t="s">
        <v>5542</v>
      </c>
      <c r="F199" t="s">
        <v>5023</v>
      </c>
      <c r="G199" t="s">
        <v>5543</v>
      </c>
    </row>
    <row r="200" ht="11.25" customHeight="1">
      <c r="A200" t="s">
        <v>14</v>
      </c>
      <c r="B200" t="s">
        <v>5544</v>
      </c>
      <c r="C200" t="s">
        <v>5545</v>
      </c>
      <c r="D200" t="s">
        <v>5546</v>
      </c>
      <c r="E200" t="s">
        <v>5547</v>
      </c>
      <c r="F200" t="s">
        <v>5023</v>
      </c>
      <c r="G200" t="s">
        <v>5548</v>
      </c>
    </row>
    <row r="201" ht="11.25" customHeight="1">
      <c r="A201" t="s">
        <v>14</v>
      </c>
      <c r="B201" t="s">
        <v>5544</v>
      </c>
      <c r="C201" t="s">
        <v>5545</v>
      </c>
      <c r="D201" t="s">
        <v>5549</v>
      </c>
      <c r="E201" t="s">
        <v>5550</v>
      </c>
      <c r="F201" t="s">
        <v>5023</v>
      </c>
      <c r="G201" t="s">
        <v>5551</v>
      </c>
    </row>
    <row r="202" ht="11.25" customHeight="1">
      <c r="A202" t="s">
        <v>14</v>
      </c>
      <c r="B202" t="s">
        <v>5544</v>
      </c>
      <c r="C202" t="s">
        <v>5545</v>
      </c>
      <c r="D202" t="s">
        <v>5552</v>
      </c>
      <c r="E202" t="s">
        <v>5553</v>
      </c>
      <c r="F202" t="s">
        <v>5023</v>
      </c>
      <c r="G202" t="s">
        <v>5554</v>
      </c>
    </row>
    <row r="203" ht="11.25" customHeight="1">
      <c r="A203" t="s">
        <v>14</v>
      </c>
      <c r="B203" t="s">
        <v>5544</v>
      </c>
      <c r="C203" t="s">
        <v>5545</v>
      </c>
      <c r="D203" t="s">
        <v>5555</v>
      </c>
      <c r="E203" t="s">
        <v>5556</v>
      </c>
      <c r="F203" t="s">
        <v>5023</v>
      </c>
      <c r="G203" t="s">
        <v>5557</v>
      </c>
    </row>
    <row r="204" ht="11.25" customHeight="1">
      <c r="A204" t="s">
        <v>14</v>
      </c>
      <c r="B204" t="s">
        <v>5544</v>
      </c>
      <c r="C204" t="s">
        <v>5545</v>
      </c>
      <c r="D204" t="s">
        <v>5558</v>
      </c>
      <c r="E204" t="s">
        <v>5559</v>
      </c>
      <c r="F204" t="s">
        <v>5023</v>
      </c>
      <c r="G204" t="s">
        <v>5560</v>
      </c>
    </row>
    <row r="205" ht="11.25" customHeight="1">
      <c r="A205" t="s">
        <v>14</v>
      </c>
      <c r="B205" t="s">
        <v>5544</v>
      </c>
      <c r="C205" t="s">
        <v>5545</v>
      </c>
      <c r="D205" t="s">
        <v>5544</v>
      </c>
      <c r="E205" t="s">
        <v>5545</v>
      </c>
      <c r="F205" t="s">
        <v>5014</v>
      </c>
      <c r="G205" t="s">
        <v>5561</v>
      </c>
    </row>
    <row r="206" ht="11.25" customHeight="1">
      <c r="A206" t="s">
        <v>14</v>
      </c>
      <c r="B206" t="s">
        <v>5544</v>
      </c>
      <c r="C206" t="s">
        <v>5545</v>
      </c>
      <c r="D206" t="s">
        <v>5562</v>
      </c>
      <c r="E206" t="s">
        <v>5563</v>
      </c>
      <c r="F206" t="s">
        <v>5017</v>
      </c>
      <c r="G206" t="s">
        <v>5564</v>
      </c>
    </row>
    <row r="207" ht="11.25" customHeight="1">
      <c r="A207" t="s">
        <v>14</v>
      </c>
      <c r="B207" t="s">
        <v>5544</v>
      </c>
      <c r="C207" t="s">
        <v>5545</v>
      </c>
      <c r="D207" t="s">
        <v>5565</v>
      </c>
      <c r="E207" t="s">
        <v>5566</v>
      </c>
      <c r="F207" t="s">
        <v>5023</v>
      </c>
      <c r="G207" t="s">
        <v>5567</v>
      </c>
    </row>
    <row r="208" ht="11.25" customHeight="1">
      <c r="A208" t="s">
        <v>14</v>
      </c>
      <c r="B208" t="s">
        <v>5544</v>
      </c>
      <c r="C208" t="s">
        <v>5545</v>
      </c>
      <c r="D208" t="s">
        <v>5568</v>
      </c>
      <c r="E208" t="s">
        <v>5569</v>
      </c>
      <c r="F208" t="s">
        <v>5023</v>
      </c>
      <c r="G208" t="s">
        <v>5570</v>
      </c>
    </row>
    <row r="209" ht="11.25" customHeight="1">
      <c r="A209" t="s">
        <v>14</v>
      </c>
      <c r="B209" t="s">
        <v>5544</v>
      </c>
      <c r="C209" t="s">
        <v>5545</v>
      </c>
      <c r="D209" t="s">
        <v>5571</v>
      </c>
      <c r="E209" t="s">
        <v>5572</v>
      </c>
      <c r="F209" t="s">
        <v>5023</v>
      </c>
      <c r="G209" t="s">
        <v>5573</v>
      </c>
    </row>
    <row r="210" ht="11.25" customHeight="1">
      <c r="A210" t="s">
        <v>14</v>
      </c>
      <c r="B210" t="s">
        <v>5544</v>
      </c>
      <c r="C210" t="s">
        <v>5545</v>
      </c>
      <c r="D210" t="s">
        <v>5574</v>
      </c>
      <c r="E210" t="s">
        <v>5575</v>
      </c>
      <c r="F210" t="s">
        <v>5023</v>
      </c>
      <c r="G210" t="s">
        <v>5576</v>
      </c>
    </row>
    <row r="211" ht="11.25" customHeight="1">
      <c r="A211" t="s">
        <v>14</v>
      </c>
      <c r="B211" t="s">
        <v>5544</v>
      </c>
      <c r="C211" t="s">
        <v>5545</v>
      </c>
      <c r="D211" t="s">
        <v>5577</v>
      </c>
      <c r="E211" t="s">
        <v>5578</v>
      </c>
      <c r="F211" t="s">
        <v>5023</v>
      </c>
      <c r="G211" t="s">
        <v>5579</v>
      </c>
    </row>
    <row r="212" ht="11.25" customHeight="1">
      <c r="A212" t="s">
        <v>14</v>
      </c>
      <c r="B212" t="s">
        <v>5544</v>
      </c>
      <c r="C212" t="s">
        <v>5545</v>
      </c>
      <c r="D212" t="s">
        <v>5580</v>
      </c>
      <c r="E212" t="s">
        <v>5581</v>
      </c>
      <c r="F212" t="s">
        <v>5023</v>
      </c>
      <c r="G212" t="s">
        <v>5582</v>
      </c>
    </row>
    <row r="213" ht="11.25" customHeight="1">
      <c r="A213" t="s">
        <v>14</v>
      </c>
      <c r="B213" t="s">
        <v>5544</v>
      </c>
      <c r="C213" t="s">
        <v>5545</v>
      </c>
      <c r="D213" t="s">
        <v>5583</v>
      </c>
      <c r="E213" t="s">
        <v>5584</v>
      </c>
      <c r="F213" t="s">
        <v>5023</v>
      </c>
      <c r="G213" t="s">
        <v>5585</v>
      </c>
    </row>
    <row r="214" ht="11.25" customHeight="1">
      <c r="A214" t="s">
        <v>14</v>
      </c>
      <c r="B214" t="s">
        <v>5586</v>
      </c>
      <c r="C214" t="s">
        <v>5587</v>
      </c>
      <c r="D214" t="s">
        <v>5588</v>
      </c>
      <c r="E214" t="s">
        <v>5589</v>
      </c>
      <c r="F214" t="s">
        <v>5023</v>
      </c>
      <c r="G214" t="s">
        <v>5590</v>
      </c>
    </row>
    <row r="215" ht="11.25" customHeight="1">
      <c r="A215" t="s">
        <v>14</v>
      </c>
      <c r="B215" t="s">
        <v>5586</v>
      </c>
      <c r="C215" t="s">
        <v>5587</v>
      </c>
      <c r="D215" t="s">
        <v>5591</v>
      </c>
      <c r="E215" t="s">
        <v>5592</v>
      </c>
      <c r="F215" t="s">
        <v>5023</v>
      </c>
      <c r="G215" t="s">
        <v>5593</v>
      </c>
    </row>
    <row r="216" ht="11.25" customHeight="1">
      <c r="A216" t="s">
        <v>14</v>
      </c>
      <c r="B216" t="s">
        <v>5586</v>
      </c>
      <c r="C216" t="s">
        <v>5587</v>
      </c>
      <c r="D216" t="s">
        <v>5594</v>
      </c>
      <c r="E216" t="s">
        <v>5595</v>
      </c>
      <c r="F216" t="s">
        <v>5023</v>
      </c>
      <c r="G216" t="s">
        <v>5596</v>
      </c>
    </row>
    <row r="217" ht="11.25" customHeight="1">
      <c r="A217" t="s">
        <v>14</v>
      </c>
      <c r="B217" t="s">
        <v>5586</v>
      </c>
      <c r="C217" t="s">
        <v>5587</v>
      </c>
      <c r="D217" t="s">
        <v>5597</v>
      </c>
      <c r="E217" t="s">
        <v>5598</v>
      </c>
      <c r="F217" t="s">
        <v>5023</v>
      </c>
      <c r="G217" t="s">
        <v>5599</v>
      </c>
    </row>
    <row r="218" ht="11.25" customHeight="1">
      <c r="A218" t="s">
        <v>14</v>
      </c>
      <c r="B218" t="s">
        <v>5586</v>
      </c>
      <c r="C218" t="s">
        <v>5587</v>
      </c>
      <c r="D218" t="s">
        <v>5424</v>
      </c>
      <c r="E218" t="s">
        <v>5600</v>
      </c>
      <c r="F218" t="s">
        <v>5023</v>
      </c>
      <c r="G218" t="s">
        <v>5601</v>
      </c>
    </row>
    <row r="219" ht="11.25" customHeight="1">
      <c r="A219" t="s">
        <v>14</v>
      </c>
      <c r="B219" t="s">
        <v>5586</v>
      </c>
      <c r="C219" t="s">
        <v>5587</v>
      </c>
      <c r="D219" t="s">
        <v>5602</v>
      </c>
      <c r="E219" t="s">
        <v>5603</v>
      </c>
      <c r="F219" t="s">
        <v>5023</v>
      </c>
      <c r="G219" t="s">
        <v>5604</v>
      </c>
    </row>
    <row r="220" ht="11.25" customHeight="1">
      <c r="A220" t="s">
        <v>14</v>
      </c>
      <c r="B220" t="s">
        <v>5586</v>
      </c>
      <c r="C220" t="s">
        <v>5587</v>
      </c>
      <c r="D220" t="s">
        <v>5586</v>
      </c>
      <c r="E220" t="s">
        <v>5587</v>
      </c>
      <c r="F220" t="s">
        <v>5014</v>
      </c>
      <c r="G220" t="s">
        <v>5605</v>
      </c>
    </row>
    <row r="221" ht="11.25" customHeight="1">
      <c r="A221" t="s">
        <v>14</v>
      </c>
      <c r="B221" t="s">
        <v>5586</v>
      </c>
      <c r="C221" t="s">
        <v>5587</v>
      </c>
      <c r="D221" t="s">
        <v>5606</v>
      </c>
      <c r="E221" t="s">
        <v>5607</v>
      </c>
      <c r="F221" t="s">
        <v>5023</v>
      </c>
      <c r="G221" t="s">
        <v>5608</v>
      </c>
    </row>
    <row r="222" ht="11.25" customHeight="1">
      <c r="A222" t="s">
        <v>14</v>
      </c>
      <c r="B222" t="s">
        <v>5586</v>
      </c>
      <c r="C222" t="s">
        <v>5587</v>
      </c>
      <c r="D222" t="s">
        <v>5609</v>
      </c>
      <c r="E222" t="s">
        <v>5610</v>
      </c>
      <c r="F222" t="s">
        <v>5023</v>
      </c>
      <c r="G222" t="s">
        <v>5611</v>
      </c>
    </row>
    <row r="223" ht="11.25" customHeight="1">
      <c r="A223" t="s">
        <v>14</v>
      </c>
      <c r="B223" t="s">
        <v>5586</v>
      </c>
      <c r="C223" t="s">
        <v>5587</v>
      </c>
      <c r="D223" t="s">
        <v>5612</v>
      </c>
      <c r="E223" t="s">
        <v>5613</v>
      </c>
      <c r="F223" t="s">
        <v>5023</v>
      </c>
      <c r="G223" t="s">
        <v>5614</v>
      </c>
    </row>
    <row r="224" ht="11.25" customHeight="1">
      <c r="A224" t="s">
        <v>14</v>
      </c>
      <c r="B224" t="s">
        <v>5586</v>
      </c>
      <c r="C224" t="s">
        <v>5587</v>
      </c>
      <c r="D224" t="s">
        <v>5615</v>
      </c>
      <c r="E224" t="s">
        <v>5616</v>
      </c>
      <c r="F224" t="s">
        <v>5023</v>
      </c>
      <c r="G224" t="s">
        <v>5617</v>
      </c>
    </row>
    <row r="225" ht="11.25" customHeight="1">
      <c r="A225" t="s">
        <v>14</v>
      </c>
      <c r="B225" t="s">
        <v>5586</v>
      </c>
      <c r="C225" t="s">
        <v>5587</v>
      </c>
      <c r="D225" t="s">
        <v>5080</v>
      </c>
      <c r="E225" t="s">
        <v>5618</v>
      </c>
      <c r="F225" t="s">
        <v>5023</v>
      </c>
      <c r="G225" t="s">
        <v>5619</v>
      </c>
    </row>
    <row r="226" ht="11.25" customHeight="1">
      <c r="A226" t="s">
        <v>14</v>
      </c>
      <c r="B226" t="s">
        <v>5586</v>
      </c>
      <c r="C226" t="s">
        <v>5587</v>
      </c>
      <c r="D226" t="s">
        <v>5620</v>
      </c>
      <c r="E226" t="s">
        <v>5621</v>
      </c>
      <c r="F226" t="s">
        <v>5023</v>
      </c>
      <c r="G226" t="s">
        <v>5622</v>
      </c>
    </row>
    <row r="227" ht="11.25" customHeight="1">
      <c r="A227" t="s">
        <v>14</v>
      </c>
      <c r="B227" t="s">
        <v>5623</v>
      </c>
      <c r="C227" t="s">
        <v>5624</v>
      </c>
      <c r="D227" t="s">
        <v>5625</v>
      </c>
      <c r="E227" t="s">
        <v>5626</v>
      </c>
      <c r="F227" t="s">
        <v>5023</v>
      </c>
      <c r="G227" t="s">
        <v>5627</v>
      </c>
    </row>
    <row r="228" ht="11.25" customHeight="1">
      <c r="A228" t="s">
        <v>14</v>
      </c>
      <c r="B228" t="s">
        <v>5623</v>
      </c>
      <c r="C228" t="s">
        <v>5624</v>
      </c>
      <c r="D228" t="s">
        <v>5628</v>
      </c>
      <c r="E228" t="s">
        <v>5629</v>
      </c>
      <c r="F228" t="s">
        <v>5023</v>
      </c>
      <c r="G228" t="s">
        <v>5630</v>
      </c>
    </row>
    <row r="229" ht="11.25" customHeight="1">
      <c r="A229" t="s">
        <v>14</v>
      </c>
      <c r="B229" t="s">
        <v>5623</v>
      </c>
      <c r="C229" t="s">
        <v>5624</v>
      </c>
      <c r="D229" t="s">
        <v>5631</v>
      </c>
      <c r="E229" t="s">
        <v>5632</v>
      </c>
      <c r="F229" t="s">
        <v>5023</v>
      </c>
      <c r="G229" t="s">
        <v>5633</v>
      </c>
    </row>
    <row r="230" ht="11.25" customHeight="1">
      <c r="A230" t="s">
        <v>14</v>
      </c>
      <c r="B230" t="s">
        <v>5623</v>
      </c>
      <c r="C230" t="s">
        <v>5624</v>
      </c>
      <c r="D230" t="s">
        <v>5634</v>
      </c>
      <c r="E230" t="s">
        <v>5635</v>
      </c>
      <c r="F230" t="s">
        <v>5023</v>
      </c>
      <c r="G230" t="s">
        <v>5636</v>
      </c>
    </row>
    <row r="231" ht="11.25" customHeight="1">
      <c r="A231" t="s">
        <v>14</v>
      </c>
      <c r="B231" t="s">
        <v>5623</v>
      </c>
      <c r="C231" t="s">
        <v>5624</v>
      </c>
      <c r="D231" t="s">
        <v>5637</v>
      </c>
      <c r="E231" t="s">
        <v>5638</v>
      </c>
      <c r="F231" t="s">
        <v>5023</v>
      </c>
      <c r="G231" t="s">
        <v>5639</v>
      </c>
    </row>
    <row r="232" ht="11.25" customHeight="1">
      <c r="A232" t="s">
        <v>14</v>
      </c>
      <c r="B232" t="s">
        <v>5623</v>
      </c>
      <c r="C232" t="s">
        <v>5624</v>
      </c>
      <c r="D232" t="s">
        <v>5640</v>
      </c>
      <c r="E232" t="s">
        <v>5641</v>
      </c>
      <c r="F232" t="s">
        <v>5023</v>
      </c>
      <c r="G232" t="s">
        <v>5642</v>
      </c>
    </row>
    <row r="233" ht="11.25" customHeight="1">
      <c r="A233" t="s">
        <v>14</v>
      </c>
      <c r="B233" t="s">
        <v>5623</v>
      </c>
      <c r="C233" t="s">
        <v>5624</v>
      </c>
      <c r="D233" t="s">
        <v>5643</v>
      </c>
      <c r="E233" t="s">
        <v>5644</v>
      </c>
      <c r="F233" t="s">
        <v>5023</v>
      </c>
      <c r="G233" t="s">
        <v>5645</v>
      </c>
    </row>
    <row r="234" ht="11.25" customHeight="1">
      <c r="A234" t="s">
        <v>14</v>
      </c>
      <c r="B234" t="s">
        <v>5623</v>
      </c>
      <c r="C234" t="s">
        <v>5624</v>
      </c>
      <c r="D234" t="s">
        <v>5646</v>
      </c>
      <c r="E234" t="s">
        <v>5647</v>
      </c>
      <c r="F234" t="s">
        <v>5023</v>
      </c>
      <c r="G234" t="s">
        <v>5648</v>
      </c>
    </row>
    <row r="235" ht="11.25" customHeight="1">
      <c r="A235" t="s">
        <v>14</v>
      </c>
      <c r="B235" t="s">
        <v>5623</v>
      </c>
      <c r="C235" t="s">
        <v>5624</v>
      </c>
      <c r="D235" t="s">
        <v>5623</v>
      </c>
      <c r="E235" t="s">
        <v>5624</v>
      </c>
      <c r="F235" t="s">
        <v>5014</v>
      </c>
      <c r="G235" t="s">
        <v>5649</v>
      </c>
    </row>
    <row r="236" ht="11.25" customHeight="1">
      <c r="A236" t="s">
        <v>14</v>
      </c>
      <c r="B236" t="s">
        <v>5623</v>
      </c>
      <c r="C236" t="s">
        <v>5624</v>
      </c>
      <c r="D236" t="s">
        <v>5650</v>
      </c>
      <c r="E236" t="s">
        <v>5651</v>
      </c>
      <c r="F236" t="s">
        <v>5020</v>
      </c>
      <c r="G236" t="s">
        <v>5652</v>
      </c>
    </row>
    <row r="237" ht="11.25" customHeight="1">
      <c r="A237" t="s">
        <v>14</v>
      </c>
      <c r="B237" t="s">
        <v>5623</v>
      </c>
      <c r="C237" t="s">
        <v>5624</v>
      </c>
      <c r="D237" t="s">
        <v>5653</v>
      </c>
      <c r="E237" t="s">
        <v>5654</v>
      </c>
      <c r="F237" t="s">
        <v>5023</v>
      </c>
      <c r="G237" t="s">
        <v>5655</v>
      </c>
    </row>
    <row r="238" ht="11.25" customHeight="1">
      <c r="A238" t="s">
        <v>14</v>
      </c>
      <c r="B238" t="s">
        <v>5623</v>
      </c>
      <c r="C238" t="s">
        <v>5624</v>
      </c>
      <c r="D238" t="s">
        <v>5656</v>
      </c>
      <c r="E238" t="s">
        <v>5657</v>
      </c>
      <c r="F238" t="s">
        <v>5020</v>
      </c>
      <c r="G238" t="s">
        <v>5658</v>
      </c>
    </row>
    <row r="239" ht="11.25" customHeight="1">
      <c r="A239" t="s">
        <v>14</v>
      </c>
      <c r="B239" t="s">
        <v>5623</v>
      </c>
      <c r="C239" t="s">
        <v>5624</v>
      </c>
      <c r="D239" t="s">
        <v>5659</v>
      </c>
      <c r="E239" t="s">
        <v>5660</v>
      </c>
      <c r="F239" t="s">
        <v>5023</v>
      </c>
      <c r="G239" t="s">
        <v>5661</v>
      </c>
    </row>
    <row r="240" ht="11.25" customHeight="1">
      <c r="A240" t="s">
        <v>14</v>
      </c>
      <c r="B240" t="s">
        <v>5623</v>
      </c>
      <c r="C240" t="s">
        <v>5624</v>
      </c>
      <c r="D240" t="s">
        <v>5662</v>
      </c>
      <c r="E240" t="s">
        <v>5663</v>
      </c>
      <c r="F240" t="s">
        <v>5023</v>
      </c>
      <c r="G240" t="s">
        <v>5664</v>
      </c>
    </row>
    <row r="241" ht="11.25" customHeight="1">
      <c r="A241" t="s">
        <v>14</v>
      </c>
      <c r="B241" t="s">
        <v>5623</v>
      </c>
      <c r="C241" t="s">
        <v>5624</v>
      </c>
      <c r="D241" t="s">
        <v>5665</v>
      </c>
      <c r="E241" t="s">
        <v>5666</v>
      </c>
      <c r="F241" t="s">
        <v>5023</v>
      </c>
      <c r="G241" t="s">
        <v>5667</v>
      </c>
    </row>
    <row r="242" ht="11.25" customHeight="1">
      <c r="A242" t="s">
        <v>14</v>
      </c>
      <c r="B242" t="s">
        <v>5668</v>
      </c>
      <c r="C242" t="s">
        <v>5669</v>
      </c>
      <c r="D242" t="s">
        <v>5670</v>
      </c>
      <c r="E242" t="s">
        <v>5671</v>
      </c>
      <c r="F242" t="s">
        <v>5023</v>
      </c>
      <c r="G242" t="s">
        <v>5672</v>
      </c>
    </row>
    <row r="243" ht="11.25" customHeight="1">
      <c r="A243" t="s">
        <v>14</v>
      </c>
      <c r="B243" t="s">
        <v>5668</v>
      </c>
      <c r="C243" t="s">
        <v>5669</v>
      </c>
      <c r="D243" t="s">
        <v>5673</v>
      </c>
      <c r="E243" t="s">
        <v>5674</v>
      </c>
      <c r="F243" t="s">
        <v>5023</v>
      </c>
      <c r="G243" t="s">
        <v>5675</v>
      </c>
    </row>
    <row r="244" ht="11.25" customHeight="1">
      <c r="A244" t="s">
        <v>14</v>
      </c>
      <c r="B244" t="s">
        <v>5668</v>
      </c>
      <c r="C244" t="s">
        <v>5669</v>
      </c>
      <c r="D244" t="s">
        <v>5676</v>
      </c>
      <c r="E244" t="s">
        <v>5677</v>
      </c>
      <c r="F244" t="s">
        <v>5023</v>
      </c>
      <c r="G244" t="s">
        <v>5678</v>
      </c>
    </row>
    <row r="245" ht="11.25" customHeight="1">
      <c r="A245" t="s">
        <v>14</v>
      </c>
      <c r="B245" t="s">
        <v>5668</v>
      </c>
      <c r="C245" t="s">
        <v>5669</v>
      </c>
      <c r="D245" t="s">
        <v>5679</v>
      </c>
      <c r="E245" t="s">
        <v>5680</v>
      </c>
      <c r="F245" t="s">
        <v>5023</v>
      </c>
      <c r="G245" t="s">
        <v>5681</v>
      </c>
    </row>
    <row r="246" ht="11.25" customHeight="1">
      <c r="A246" t="s">
        <v>14</v>
      </c>
      <c r="B246" t="s">
        <v>5668</v>
      </c>
      <c r="C246" t="s">
        <v>5669</v>
      </c>
      <c r="D246" t="s">
        <v>5668</v>
      </c>
      <c r="E246" t="s">
        <v>5669</v>
      </c>
      <c r="F246" t="s">
        <v>5014</v>
      </c>
      <c r="G246" t="s">
        <v>5682</v>
      </c>
    </row>
    <row r="247" ht="11.25" customHeight="1">
      <c r="A247" t="s">
        <v>14</v>
      </c>
      <c r="B247" t="s">
        <v>5668</v>
      </c>
      <c r="C247" t="s">
        <v>5669</v>
      </c>
      <c r="D247" t="s">
        <v>5683</v>
      </c>
      <c r="E247" t="s">
        <v>5684</v>
      </c>
      <c r="F247" t="s">
        <v>5017</v>
      </c>
      <c r="G247" t="s">
        <v>5685</v>
      </c>
    </row>
    <row r="248" ht="11.25" customHeight="1">
      <c r="A248" t="s">
        <v>14</v>
      </c>
      <c r="B248" t="s">
        <v>5668</v>
      </c>
      <c r="C248" t="s">
        <v>5669</v>
      </c>
      <c r="D248" t="s">
        <v>5103</v>
      </c>
      <c r="E248" t="s">
        <v>5686</v>
      </c>
      <c r="F248" t="s">
        <v>5023</v>
      </c>
      <c r="G248" t="s">
        <v>5687</v>
      </c>
    </row>
    <row r="249" ht="11.25" customHeight="1">
      <c r="A249" t="s">
        <v>14</v>
      </c>
      <c r="B249" t="s">
        <v>5668</v>
      </c>
      <c r="C249" t="s">
        <v>5669</v>
      </c>
      <c r="D249" t="s">
        <v>5688</v>
      </c>
      <c r="E249" t="s">
        <v>5689</v>
      </c>
      <c r="F249" t="s">
        <v>5023</v>
      </c>
      <c r="G249" t="s">
        <v>5690</v>
      </c>
    </row>
    <row r="250" ht="11.25" customHeight="1">
      <c r="A250" t="s">
        <v>14</v>
      </c>
      <c r="B250" t="s">
        <v>5668</v>
      </c>
      <c r="C250" t="s">
        <v>5669</v>
      </c>
      <c r="D250" t="s">
        <v>5691</v>
      </c>
      <c r="E250" t="s">
        <v>5692</v>
      </c>
      <c r="F250" t="s">
        <v>5023</v>
      </c>
      <c r="G250" t="s">
        <v>5693</v>
      </c>
    </row>
    <row r="251" ht="11.25" customHeight="1">
      <c r="A251" t="s">
        <v>14</v>
      </c>
      <c r="B251" t="s">
        <v>5668</v>
      </c>
      <c r="C251" t="s">
        <v>5669</v>
      </c>
      <c r="D251" t="s">
        <v>5694</v>
      </c>
      <c r="E251" t="s">
        <v>5695</v>
      </c>
      <c r="F251" t="s">
        <v>5023</v>
      </c>
      <c r="G251" t="s">
        <v>5696</v>
      </c>
    </row>
    <row r="252" ht="11.25" customHeight="1">
      <c r="A252" t="s">
        <v>14</v>
      </c>
      <c r="B252" t="s">
        <v>5697</v>
      </c>
      <c r="C252" t="s">
        <v>5698</v>
      </c>
      <c r="D252" t="s">
        <v>5699</v>
      </c>
      <c r="E252" t="s">
        <v>5700</v>
      </c>
      <c r="F252" t="s">
        <v>5023</v>
      </c>
      <c r="G252" t="s">
        <v>5701</v>
      </c>
    </row>
    <row r="253" ht="11.25" customHeight="1">
      <c r="A253" t="s">
        <v>14</v>
      </c>
      <c r="B253" t="s">
        <v>5697</v>
      </c>
      <c r="C253" t="s">
        <v>5698</v>
      </c>
      <c r="D253" t="s">
        <v>5513</v>
      </c>
      <c r="E253" t="s">
        <v>5702</v>
      </c>
      <c r="F253" t="s">
        <v>5023</v>
      </c>
      <c r="G253" t="s">
        <v>5703</v>
      </c>
    </row>
    <row r="254" ht="11.25" customHeight="1">
      <c r="A254" t="s">
        <v>14</v>
      </c>
      <c r="B254" t="s">
        <v>5697</v>
      </c>
      <c r="C254" t="s">
        <v>5698</v>
      </c>
      <c r="D254" t="s">
        <v>5704</v>
      </c>
      <c r="E254" t="s">
        <v>5705</v>
      </c>
      <c r="F254" t="s">
        <v>5023</v>
      </c>
      <c r="G254" t="s">
        <v>5706</v>
      </c>
    </row>
    <row r="255" ht="11.25" customHeight="1">
      <c r="A255" t="s">
        <v>14</v>
      </c>
      <c r="B255" t="s">
        <v>5697</v>
      </c>
      <c r="C255" t="s">
        <v>5698</v>
      </c>
      <c r="D255" t="s">
        <v>5040</v>
      </c>
      <c r="E255" t="s">
        <v>5707</v>
      </c>
      <c r="F255" t="s">
        <v>5023</v>
      </c>
      <c r="G255" t="s">
        <v>5708</v>
      </c>
    </row>
    <row r="256" ht="11.25" customHeight="1">
      <c r="A256" t="s">
        <v>14</v>
      </c>
      <c r="B256" t="s">
        <v>5697</v>
      </c>
      <c r="C256" t="s">
        <v>5698</v>
      </c>
      <c r="D256" t="s">
        <v>5709</v>
      </c>
      <c r="E256" t="s">
        <v>5710</v>
      </c>
      <c r="F256" t="s">
        <v>5023</v>
      </c>
      <c r="G256" t="s">
        <v>5711</v>
      </c>
    </row>
    <row r="257" ht="11.25" customHeight="1">
      <c r="A257" t="s">
        <v>14</v>
      </c>
      <c r="B257" t="s">
        <v>5697</v>
      </c>
      <c r="C257" t="s">
        <v>5698</v>
      </c>
      <c r="D257" t="s">
        <v>5712</v>
      </c>
      <c r="E257" t="s">
        <v>5713</v>
      </c>
      <c r="F257" t="s">
        <v>5023</v>
      </c>
      <c r="G257" t="s">
        <v>5714</v>
      </c>
    </row>
    <row r="258" ht="11.25" customHeight="1">
      <c r="A258" t="s">
        <v>14</v>
      </c>
      <c r="B258" t="s">
        <v>5697</v>
      </c>
      <c r="C258" t="s">
        <v>5698</v>
      </c>
      <c r="D258" t="s">
        <v>5697</v>
      </c>
      <c r="E258" t="s">
        <v>5698</v>
      </c>
      <c r="F258" t="s">
        <v>5014</v>
      </c>
      <c r="G258" t="s">
        <v>5715</v>
      </c>
    </row>
    <row r="259" ht="11.25" customHeight="1">
      <c r="A259" t="s">
        <v>14</v>
      </c>
      <c r="B259" t="s">
        <v>5697</v>
      </c>
      <c r="C259" t="s">
        <v>5698</v>
      </c>
      <c r="D259" t="s">
        <v>5716</v>
      </c>
      <c r="E259" t="s">
        <v>5717</v>
      </c>
      <c r="F259" t="s">
        <v>5023</v>
      </c>
      <c r="G259" t="s">
        <v>5718</v>
      </c>
    </row>
    <row r="260" ht="11.25" customHeight="1">
      <c r="A260" t="s">
        <v>14</v>
      </c>
      <c r="B260" t="s">
        <v>5697</v>
      </c>
      <c r="C260" t="s">
        <v>5698</v>
      </c>
      <c r="D260" t="s">
        <v>5719</v>
      </c>
      <c r="E260" t="s">
        <v>5720</v>
      </c>
      <c r="F260" t="s">
        <v>5023</v>
      </c>
      <c r="G260" t="s">
        <v>5721</v>
      </c>
    </row>
    <row r="261" ht="11.25" customHeight="1">
      <c r="A261" t="s">
        <v>14</v>
      </c>
      <c r="B261" t="s">
        <v>5722</v>
      </c>
      <c r="C261" t="s">
        <v>5723</v>
      </c>
      <c r="D261" t="s">
        <v>5724</v>
      </c>
      <c r="E261" t="s">
        <v>5725</v>
      </c>
      <c r="F261" t="s">
        <v>5023</v>
      </c>
      <c r="G261" t="s">
        <v>5726</v>
      </c>
    </row>
    <row r="262" ht="11.25" customHeight="1">
      <c r="A262" t="s">
        <v>14</v>
      </c>
      <c r="B262" t="s">
        <v>5722</v>
      </c>
      <c r="C262" t="s">
        <v>5723</v>
      </c>
      <c r="D262" t="s">
        <v>5727</v>
      </c>
      <c r="E262" t="s">
        <v>5728</v>
      </c>
      <c r="F262" t="s">
        <v>5023</v>
      </c>
      <c r="G262" t="s">
        <v>5729</v>
      </c>
    </row>
    <row r="263" ht="11.25" customHeight="1">
      <c r="A263" t="s">
        <v>14</v>
      </c>
      <c r="B263" t="s">
        <v>5722</v>
      </c>
      <c r="C263" t="s">
        <v>5723</v>
      </c>
      <c r="D263" t="s">
        <v>5331</v>
      </c>
      <c r="E263" t="s">
        <v>5730</v>
      </c>
      <c r="F263" t="s">
        <v>5023</v>
      </c>
      <c r="G263" t="s">
        <v>5731</v>
      </c>
    </row>
    <row r="264" ht="11.25" customHeight="1">
      <c r="A264" t="s">
        <v>14</v>
      </c>
      <c r="B264" t="s">
        <v>5722</v>
      </c>
      <c r="C264" t="s">
        <v>5723</v>
      </c>
      <c r="D264" t="s">
        <v>5732</v>
      </c>
      <c r="E264" t="s">
        <v>5733</v>
      </c>
      <c r="F264" t="s">
        <v>5023</v>
      </c>
      <c r="G264" t="s">
        <v>5734</v>
      </c>
    </row>
    <row r="265" ht="11.25" customHeight="1">
      <c r="A265" t="s">
        <v>14</v>
      </c>
      <c r="B265" t="s">
        <v>5722</v>
      </c>
      <c r="C265" t="s">
        <v>5723</v>
      </c>
      <c r="D265" t="s">
        <v>5735</v>
      </c>
      <c r="E265" t="s">
        <v>5736</v>
      </c>
      <c r="F265" t="s">
        <v>5023</v>
      </c>
      <c r="G265" t="s">
        <v>5737</v>
      </c>
    </row>
    <row r="266" ht="11.25" customHeight="1">
      <c r="A266" t="s">
        <v>14</v>
      </c>
      <c r="B266" t="s">
        <v>5722</v>
      </c>
      <c r="C266" t="s">
        <v>5723</v>
      </c>
      <c r="D266" t="s">
        <v>5738</v>
      </c>
      <c r="E266" t="s">
        <v>5739</v>
      </c>
      <c r="F266" t="s">
        <v>5023</v>
      </c>
      <c r="G266" t="s">
        <v>5740</v>
      </c>
    </row>
    <row r="267" ht="11.25" customHeight="1">
      <c r="A267" t="s">
        <v>14</v>
      </c>
      <c r="B267" t="s">
        <v>5722</v>
      </c>
      <c r="C267" t="s">
        <v>5723</v>
      </c>
      <c r="D267" t="s">
        <v>5722</v>
      </c>
      <c r="E267" t="s">
        <v>5723</v>
      </c>
      <c r="F267" t="s">
        <v>5014</v>
      </c>
      <c r="G267" t="s">
        <v>5741</v>
      </c>
    </row>
    <row r="268" ht="11.25" customHeight="1">
      <c r="A268" t="s">
        <v>14</v>
      </c>
      <c r="B268" t="s">
        <v>5722</v>
      </c>
      <c r="C268" t="s">
        <v>5723</v>
      </c>
      <c r="D268" t="s">
        <v>5742</v>
      </c>
      <c r="E268" t="s">
        <v>5743</v>
      </c>
      <c r="F268" t="s">
        <v>5023</v>
      </c>
      <c r="G268" t="s">
        <v>5744</v>
      </c>
    </row>
    <row r="269" ht="11.25" customHeight="1">
      <c r="A269" t="s">
        <v>14</v>
      </c>
      <c r="B269" t="s">
        <v>5722</v>
      </c>
      <c r="C269" t="s">
        <v>5723</v>
      </c>
      <c r="D269" t="s">
        <v>5745</v>
      </c>
      <c r="E269" t="s">
        <v>5746</v>
      </c>
      <c r="F269" t="s">
        <v>5023</v>
      </c>
      <c r="G269" t="s">
        <v>5747</v>
      </c>
    </row>
    <row r="270" ht="11.25" customHeight="1">
      <c r="A270" t="s">
        <v>14</v>
      </c>
      <c r="B270" t="s">
        <v>5722</v>
      </c>
      <c r="C270" t="s">
        <v>5723</v>
      </c>
      <c r="D270" t="s">
        <v>5748</v>
      </c>
      <c r="E270" t="s">
        <v>5749</v>
      </c>
      <c r="F270" t="s">
        <v>5023</v>
      </c>
      <c r="G270" t="s">
        <v>5750</v>
      </c>
    </row>
    <row r="271" ht="11.25" customHeight="1">
      <c r="A271" t="s">
        <v>14</v>
      </c>
      <c r="B271" t="s">
        <v>5722</v>
      </c>
      <c r="C271" t="s">
        <v>5723</v>
      </c>
      <c r="D271" t="s">
        <v>5751</v>
      </c>
      <c r="E271" t="s">
        <v>5752</v>
      </c>
      <c r="F271" t="s">
        <v>5023</v>
      </c>
      <c r="G271" t="s">
        <v>5753</v>
      </c>
    </row>
    <row r="272" ht="11.25" customHeight="1">
      <c r="A272" t="s">
        <v>14</v>
      </c>
      <c r="B272" t="s">
        <v>5722</v>
      </c>
      <c r="C272" t="s">
        <v>5723</v>
      </c>
      <c r="D272" t="s">
        <v>5754</v>
      </c>
      <c r="E272" t="s">
        <v>5755</v>
      </c>
      <c r="F272" t="s">
        <v>5023</v>
      </c>
      <c r="G272" t="s">
        <v>5756</v>
      </c>
    </row>
    <row r="273" ht="11.25" customHeight="1">
      <c r="A273" t="s">
        <v>14</v>
      </c>
      <c r="B273" t="s">
        <v>5722</v>
      </c>
      <c r="C273" t="s">
        <v>5723</v>
      </c>
      <c r="D273" t="s">
        <v>5757</v>
      </c>
      <c r="E273" t="s">
        <v>5758</v>
      </c>
      <c r="F273" t="s">
        <v>5023</v>
      </c>
      <c r="G273" t="s">
        <v>5759</v>
      </c>
    </row>
    <row r="274" ht="11.25" customHeight="1">
      <c r="A274" t="s">
        <v>14</v>
      </c>
      <c r="B274" t="s">
        <v>5722</v>
      </c>
      <c r="C274" t="s">
        <v>5723</v>
      </c>
      <c r="D274" t="s">
        <v>5760</v>
      </c>
      <c r="E274" t="s">
        <v>5761</v>
      </c>
      <c r="F274" t="s">
        <v>5023</v>
      </c>
      <c r="G274" t="s">
        <v>5762</v>
      </c>
    </row>
    <row r="275" ht="11.25" customHeight="1">
      <c r="A275" t="s">
        <v>14</v>
      </c>
      <c r="B275" t="s">
        <v>5722</v>
      </c>
      <c r="C275" t="s">
        <v>5723</v>
      </c>
      <c r="D275" t="s">
        <v>5763</v>
      </c>
      <c r="E275" t="s">
        <v>5764</v>
      </c>
      <c r="F275" t="s">
        <v>5023</v>
      </c>
      <c r="G275" t="s">
        <v>5765</v>
      </c>
    </row>
    <row r="276" ht="11.25" customHeight="1">
      <c r="A276" t="s">
        <v>14</v>
      </c>
      <c r="B276" t="s">
        <v>5766</v>
      </c>
      <c r="C276" t="s">
        <v>5767</v>
      </c>
      <c r="D276" t="s">
        <v>5768</v>
      </c>
      <c r="E276" t="s">
        <v>5769</v>
      </c>
      <c r="F276" t="s">
        <v>5023</v>
      </c>
      <c r="G276" t="s">
        <v>5770</v>
      </c>
    </row>
    <row r="277" ht="11.25" customHeight="1">
      <c r="A277" t="s">
        <v>14</v>
      </c>
      <c r="B277" t="s">
        <v>5766</v>
      </c>
      <c r="C277" t="s">
        <v>5767</v>
      </c>
      <c r="D277" t="s">
        <v>5771</v>
      </c>
      <c r="E277" t="s">
        <v>5772</v>
      </c>
      <c r="F277" t="s">
        <v>5023</v>
      </c>
      <c r="G277" t="s">
        <v>5773</v>
      </c>
    </row>
    <row r="278" ht="11.25" customHeight="1">
      <c r="A278" t="s">
        <v>14</v>
      </c>
      <c r="B278" t="s">
        <v>5766</v>
      </c>
      <c r="C278" t="s">
        <v>5767</v>
      </c>
      <c r="D278" t="s">
        <v>5709</v>
      </c>
      <c r="E278" t="s">
        <v>5774</v>
      </c>
      <c r="F278" t="s">
        <v>5023</v>
      </c>
      <c r="G278" t="s">
        <v>5775</v>
      </c>
    </row>
    <row r="279" ht="11.25" customHeight="1">
      <c r="A279" t="s">
        <v>14</v>
      </c>
      <c r="B279" t="s">
        <v>5766</v>
      </c>
      <c r="C279" t="s">
        <v>5767</v>
      </c>
      <c r="D279" t="s">
        <v>5776</v>
      </c>
      <c r="E279" t="s">
        <v>5777</v>
      </c>
      <c r="F279" t="s">
        <v>5023</v>
      </c>
      <c r="G279" t="s">
        <v>5778</v>
      </c>
    </row>
    <row r="280" ht="11.25" customHeight="1">
      <c r="A280" t="s">
        <v>14</v>
      </c>
      <c r="B280" t="s">
        <v>5766</v>
      </c>
      <c r="C280" t="s">
        <v>5767</v>
      </c>
      <c r="D280" t="s">
        <v>5779</v>
      </c>
      <c r="E280" t="s">
        <v>5780</v>
      </c>
      <c r="F280" t="s">
        <v>5023</v>
      </c>
      <c r="G280" t="s">
        <v>5781</v>
      </c>
    </row>
    <row r="281" ht="11.25" customHeight="1">
      <c r="A281" t="s">
        <v>14</v>
      </c>
      <c r="B281" t="s">
        <v>5766</v>
      </c>
      <c r="C281" t="s">
        <v>5767</v>
      </c>
      <c r="D281" t="s">
        <v>5782</v>
      </c>
      <c r="E281" t="s">
        <v>5783</v>
      </c>
      <c r="F281" t="s">
        <v>5023</v>
      </c>
      <c r="G281" t="s">
        <v>5784</v>
      </c>
    </row>
    <row r="282" ht="11.25" customHeight="1">
      <c r="A282" t="s">
        <v>14</v>
      </c>
      <c r="B282" t="s">
        <v>5766</v>
      </c>
      <c r="C282" t="s">
        <v>5767</v>
      </c>
      <c r="D282" t="s">
        <v>5766</v>
      </c>
      <c r="E282" t="s">
        <v>5767</v>
      </c>
      <c r="F282" t="s">
        <v>5014</v>
      </c>
      <c r="G282" t="s">
        <v>5785</v>
      </c>
    </row>
    <row r="283" ht="11.25" customHeight="1">
      <c r="A283" t="s">
        <v>14</v>
      </c>
      <c r="B283" t="s">
        <v>5766</v>
      </c>
      <c r="C283" t="s">
        <v>5767</v>
      </c>
      <c r="D283" t="s">
        <v>5786</v>
      </c>
      <c r="E283" t="s">
        <v>5787</v>
      </c>
      <c r="F283" t="s">
        <v>5023</v>
      </c>
      <c r="G283" t="s">
        <v>5788</v>
      </c>
    </row>
    <row r="284" ht="11.25" customHeight="1">
      <c r="A284" t="s">
        <v>14</v>
      </c>
      <c r="B284" t="s">
        <v>5766</v>
      </c>
      <c r="C284" t="s">
        <v>5767</v>
      </c>
      <c r="D284" t="s">
        <v>5789</v>
      </c>
      <c r="E284" t="s">
        <v>5790</v>
      </c>
      <c r="F284" t="s">
        <v>5023</v>
      </c>
      <c r="G284" t="s">
        <v>5791</v>
      </c>
    </row>
    <row r="285" ht="11.25" customHeight="1">
      <c r="A285" t="s">
        <v>14</v>
      </c>
      <c r="B285" t="s">
        <v>5766</v>
      </c>
      <c r="C285" t="s">
        <v>5767</v>
      </c>
      <c r="D285" t="s">
        <v>5792</v>
      </c>
      <c r="E285" t="s">
        <v>5793</v>
      </c>
      <c r="F285" t="s">
        <v>5023</v>
      </c>
      <c r="G285" t="s">
        <v>5794</v>
      </c>
    </row>
    <row r="286" ht="11.25" customHeight="1">
      <c r="A286" t="s">
        <v>14</v>
      </c>
      <c r="B286" t="s">
        <v>5766</v>
      </c>
      <c r="C286" t="s">
        <v>5767</v>
      </c>
      <c r="D286" t="s">
        <v>5795</v>
      </c>
      <c r="E286" t="s">
        <v>5796</v>
      </c>
      <c r="F286" t="s">
        <v>5023</v>
      </c>
      <c r="G286" t="s">
        <v>5797</v>
      </c>
    </row>
    <row r="287" ht="11.25" customHeight="1">
      <c r="A287" t="s">
        <v>14</v>
      </c>
      <c r="B287" t="s">
        <v>5766</v>
      </c>
      <c r="C287" t="s">
        <v>5767</v>
      </c>
      <c r="D287" t="s">
        <v>5577</v>
      </c>
      <c r="E287" t="s">
        <v>5798</v>
      </c>
      <c r="F287" t="s">
        <v>5023</v>
      </c>
      <c r="G287" t="s">
        <v>5799</v>
      </c>
    </row>
    <row r="288" ht="11.25" customHeight="1">
      <c r="A288" t="s">
        <v>14</v>
      </c>
      <c r="B288" t="s">
        <v>5800</v>
      </c>
      <c r="C288" t="s">
        <v>5801</v>
      </c>
      <c r="D288" t="s">
        <v>5802</v>
      </c>
      <c r="E288" t="s">
        <v>5803</v>
      </c>
      <c r="F288" t="s">
        <v>5023</v>
      </c>
      <c r="G288" t="s">
        <v>5804</v>
      </c>
    </row>
    <row r="289" ht="11.25" customHeight="1">
      <c r="A289" t="s">
        <v>14</v>
      </c>
      <c r="B289" t="s">
        <v>5800</v>
      </c>
      <c r="C289" t="s">
        <v>5801</v>
      </c>
      <c r="D289" t="s">
        <v>5805</v>
      </c>
      <c r="E289" t="s">
        <v>5806</v>
      </c>
      <c r="F289" t="s">
        <v>5023</v>
      </c>
      <c r="G289" t="s">
        <v>5807</v>
      </c>
    </row>
    <row r="290" ht="11.25" customHeight="1">
      <c r="A290" t="s">
        <v>14</v>
      </c>
      <c r="B290" t="s">
        <v>5800</v>
      </c>
      <c r="C290" t="s">
        <v>5801</v>
      </c>
      <c r="D290" t="s">
        <v>5808</v>
      </c>
      <c r="E290" t="s">
        <v>5809</v>
      </c>
      <c r="F290" t="s">
        <v>5023</v>
      </c>
      <c r="G290" t="s">
        <v>5810</v>
      </c>
    </row>
    <row r="291" ht="11.25" customHeight="1">
      <c r="A291" t="s">
        <v>14</v>
      </c>
      <c r="B291" t="s">
        <v>5800</v>
      </c>
      <c r="C291" t="s">
        <v>5801</v>
      </c>
      <c r="D291" t="s">
        <v>5716</v>
      </c>
      <c r="E291" t="s">
        <v>5811</v>
      </c>
      <c r="F291" t="s">
        <v>5023</v>
      </c>
      <c r="G291" t="s">
        <v>5812</v>
      </c>
    </row>
    <row r="292" ht="11.25" customHeight="1">
      <c r="A292" t="s">
        <v>14</v>
      </c>
      <c r="B292" t="s">
        <v>5800</v>
      </c>
      <c r="C292" t="s">
        <v>5801</v>
      </c>
      <c r="D292" t="s">
        <v>5026</v>
      </c>
      <c r="E292" t="s">
        <v>5813</v>
      </c>
      <c r="F292" t="s">
        <v>5023</v>
      </c>
      <c r="G292" t="s">
        <v>5814</v>
      </c>
    </row>
    <row r="293" ht="11.25" customHeight="1">
      <c r="A293" t="s">
        <v>14</v>
      </c>
      <c r="B293" t="s">
        <v>5800</v>
      </c>
      <c r="C293" t="s">
        <v>5801</v>
      </c>
      <c r="D293" t="s">
        <v>5815</v>
      </c>
      <c r="E293" t="s">
        <v>5816</v>
      </c>
      <c r="F293" t="s">
        <v>5023</v>
      </c>
      <c r="G293" t="s">
        <v>5817</v>
      </c>
    </row>
    <row r="294" ht="11.25" customHeight="1">
      <c r="A294" t="s">
        <v>14</v>
      </c>
      <c r="B294" t="s">
        <v>5800</v>
      </c>
      <c r="C294" t="s">
        <v>5801</v>
      </c>
      <c r="D294" t="s">
        <v>5800</v>
      </c>
      <c r="E294" t="s">
        <v>5801</v>
      </c>
      <c r="F294" t="s">
        <v>5014</v>
      </c>
      <c r="G294" t="s">
        <v>5818</v>
      </c>
    </row>
    <row r="295" ht="11.25" customHeight="1">
      <c r="A295" t="s">
        <v>14</v>
      </c>
      <c r="B295" t="s">
        <v>5800</v>
      </c>
      <c r="C295" t="s">
        <v>5801</v>
      </c>
      <c r="D295" t="s">
        <v>5819</v>
      </c>
      <c r="E295" t="s">
        <v>5820</v>
      </c>
      <c r="F295" t="s">
        <v>5017</v>
      </c>
      <c r="G295" t="s">
        <v>5821</v>
      </c>
    </row>
    <row r="296" ht="11.25" customHeight="1">
      <c r="A296" t="s">
        <v>14</v>
      </c>
      <c r="B296" t="s">
        <v>5800</v>
      </c>
      <c r="C296" t="s">
        <v>5801</v>
      </c>
      <c r="D296" t="s">
        <v>5822</v>
      </c>
      <c r="E296" t="s">
        <v>5823</v>
      </c>
      <c r="F296" t="s">
        <v>5023</v>
      </c>
      <c r="G296" t="s">
        <v>5824</v>
      </c>
    </row>
    <row r="297" ht="11.25" customHeight="1">
      <c r="A297" t="s">
        <v>14</v>
      </c>
      <c r="B297" t="s">
        <v>5800</v>
      </c>
      <c r="C297" t="s">
        <v>5801</v>
      </c>
      <c r="D297" t="s">
        <v>5825</v>
      </c>
      <c r="E297" t="s">
        <v>5826</v>
      </c>
      <c r="F297" t="s">
        <v>5023</v>
      </c>
      <c r="G297" t="s">
        <v>5827</v>
      </c>
    </row>
    <row r="298" ht="11.25" customHeight="1">
      <c r="A298" t="s">
        <v>14</v>
      </c>
      <c r="B298" t="s">
        <v>5828</v>
      </c>
      <c r="C298" t="s">
        <v>5829</v>
      </c>
      <c r="D298" t="s">
        <v>5830</v>
      </c>
      <c r="E298" t="s">
        <v>5831</v>
      </c>
      <c r="F298" t="s">
        <v>5023</v>
      </c>
      <c r="G298" t="s">
        <v>5832</v>
      </c>
    </row>
    <row r="299" ht="11.25" customHeight="1">
      <c r="A299" t="s">
        <v>14</v>
      </c>
      <c r="B299" t="s">
        <v>5828</v>
      </c>
      <c r="C299" t="s">
        <v>5829</v>
      </c>
      <c r="D299" t="s">
        <v>5833</v>
      </c>
      <c r="E299" t="s">
        <v>5834</v>
      </c>
      <c r="F299" t="s">
        <v>5020</v>
      </c>
      <c r="G299" t="s">
        <v>5835</v>
      </c>
    </row>
    <row r="300" ht="11.25" customHeight="1">
      <c r="A300" t="s">
        <v>14</v>
      </c>
      <c r="B300" t="s">
        <v>5828</v>
      </c>
      <c r="C300" t="s">
        <v>5829</v>
      </c>
      <c r="D300" t="s">
        <v>5836</v>
      </c>
      <c r="E300" t="s">
        <v>5837</v>
      </c>
      <c r="F300" t="s">
        <v>5023</v>
      </c>
      <c r="G300" t="s">
        <v>5838</v>
      </c>
    </row>
    <row r="301" ht="11.25" customHeight="1">
      <c r="A301" t="s">
        <v>14</v>
      </c>
      <c r="B301" t="s">
        <v>5828</v>
      </c>
      <c r="C301" t="s">
        <v>5829</v>
      </c>
      <c r="D301" t="s">
        <v>5839</v>
      </c>
      <c r="E301" t="s">
        <v>5840</v>
      </c>
      <c r="F301" t="s">
        <v>5020</v>
      </c>
      <c r="G301" t="s">
        <v>5841</v>
      </c>
    </row>
    <row r="302" ht="11.25" customHeight="1">
      <c r="A302" t="s">
        <v>14</v>
      </c>
      <c r="B302" t="s">
        <v>5828</v>
      </c>
      <c r="C302" t="s">
        <v>5829</v>
      </c>
      <c r="D302" t="s">
        <v>5842</v>
      </c>
      <c r="E302" t="s">
        <v>5843</v>
      </c>
      <c r="F302" t="s">
        <v>5023</v>
      </c>
      <c r="G302" t="s">
        <v>5844</v>
      </c>
    </row>
    <row r="303" ht="11.25" customHeight="1">
      <c r="A303" t="s">
        <v>14</v>
      </c>
      <c r="B303" t="s">
        <v>5828</v>
      </c>
      <c r="C303" t="s">
        <v>5829</v>
      </c>
      <c r="D303" t="s">
        <v>5845</v>
      </c>
      <c r="E303" t="s">
        <v>5846</v>
      </c>
      <c r="F303" t="s">
        <v>5023</v>
      </c>
      <c r="G303" t="s">
        <v>5847</v>
      </c>
    </row>
    <row r="304" ht="11.25" customHeight="1">
      <c r="A304" t="s">
        <v>14</v>
      </c>
      <c r="B304" t="s">
        <v>5828</v>
      </c>
      <c r="C304" t="s">
        <v>5829</v>
      </c>
      <c r="D304" t="s">
        <v>5492</v>
      </c>
      <c r="E304" t="s">
        <v>5848</v>
      </c>
      <c r="F304" t="s">
        <v>5023</v>
      </c>
      <c r="G304" t="s">
        <v>5849</v>
      </c>
    </row>
    <row r="305" ht="11.25" customHeight="1">
      <c r="A305" t="s">
        <v>14</v>
      </c>
      <c r="B305" t="s">
        <v>5828</v>
      </c>
      <c r="C305" t="s">
        <v>5829</v>
      </c>
      <c r="D305" t="s">
        <v>5850</v>
      </c>
      <c r="E305" t="s">
        <v>5851</v>
      </c>
      <c r="F305" t="s">
        <v>5023</v>
      </c>
      <c r="G305" t="s">
        <v>5852</v>
      </c>
    </row>
    <row r="306" ht="11.25" customHeight="1">
      <c r="A306" t="s">
        <v>14</v>
      </c>
      <c r="B306" t="s">
        <v>5828</v>
      </c>
      <c r="C306" t="s">
        <v>5829</v>
      </c>
      <c r="D306" t="s">
        <v>5828</v>
      </c>
      <c r="E306" t="s">
        <v>5829</v>
      </c>
      <c r="F306" t="s">
        <v>5014</v>
      </c>
      <c r="G306" t="s">
        <v>5853</v>
      </c>
    </row>
    <row r="307" ht="11.25" customHeight="1">
      <c r="A307" t="s">
        <v>14</v>
      </c>
      <c r="B307" t="s">
        <v>5828</v>
      </c>
      <c r="C307" t="s">
        <v>5829</v>
      </c>
      <c r="D307" t="s">
        <v>5854</v>
      </c>
      <c r="E307" t="s">
        <v>5855</v>
      </c>
      <c r="F307" t="s">
        <v>5023</v>
      </c>
      <c r="G307" t="s">
        <v>5856</v>
      </c>
    </row>
    <row r="308" ht="11.25" customHeight="1">
      <c r="A308" t="s">
        <v>14</v>
      </c>
      <c r="B308" t="s">
        <v>5828</v>
      </c>
      <c r="C308" t="s">
        <v>5829</v>
      </c>
      <c r="D308" t="s">
        <v>5857</v>
      </c>
      <c r="E308" t="s">
        <v>5858</v>
      </c>
      <c r="F308" t="s">
        <v>5023</v>
      </c>
      <c r="G308" t="s">
        <v>5859</v>
      </c>
    </row>
    <row r="309" ht="11.25" customHeight="1">
      <c r="A309" t="s">
        <v>14</v>
      </c>
      <c r="B309" t="s">
        <v>5828</v>
      </c>
      <c r="C309" t="s">
        <v>5829</v>
      </c>
      <c r="D309" t="s">
        <v>5860</v>
      </c>
      <c r="E309" t="s">
        <v>5861</v>
      </c>
      <c r="F309" t="s">
        <v>5020</v>
      </c>
      <c r="G309" t="s">
        <v>5862</v>
      </c>
    </row>
    <row r="310" ht="11.25" customHeight="1">
      <c r="A310" t="s">
        <v>14</v>
      </c>
      <c r="B310" t="s">
        <v>5828</v>
      </c>
      <c r="C310" t="s">
        <v>5829</v>
      </c>
      <c r="D310" t="s">
        <v>5863</v>
      </c>
      <c r="E310" t="s">
        <v>5864</v>
      </c>
      <c r="F310" t="s">
        <v>5023</v>
      </c>
      <c r="G310" t="s">
        <v>5865</v>
      </c>
    </row>
    <row r="311" ht="11.25" customHeight="1">
      <c r="A311" t="s">
        <v>14</v>
      </c>
      <c r="B311" t="s">
        <v>102</v>
      </c>
      <c r="C311" t="s">
        <v>103</v>
      </c>
      <c r="D311" t="s">
        <v>102</v>
      </c>
      <c r="E311" t="s">
        <v>103</v>
      </c>
      <c r="F311" t="s">
        <v>5135</v>
      </c>
      <c r="G311" t="s">
        <v>101</v>
      </c>
    </row>
    <row r="312" ht="11.25" customHeight="1">
      <c r="A312" t="s">
        <v>14</v>
      </c>
      <c r="B312" t="s">
        <v>5866</v>
      </c>
      <c r="C312" t="s">
        <v>5867</v>
      </c>
      <c r="D312" t="s">
        <v>5868</v>
      </c>
      <c r="E312" t="s">
        <v>5869</v>
      </c>
      <c r="F312" t="s">
        <v>5023</v>
      </c>
      <c r="G312" t="s">
        <v>5870</v>
      </c>
    </row>
    <row r="313" ht="11.25" customHeight="1">
      <c r="A313" t="s">
        <v>14</v>
      </c>
      <c r="B313" t="s">
        <v>5866</v>
      </c>
      <c r="C313" t="s">
        <v>5867</v>
      </c>
      <c r="D313" t="s">
        <v>5871</v>
      </c>
      <c r="E313" t="s">
        <v>5872</v>
      </c>
      <c r="F313" t="s">
        <v>5023</v>
      </c>
      <c r="G313" t="s">
        <v>5873</v>
      </c>
    </row>
    <row r="314" ht="11.25" customHeight="1">
      <c r="A314" t="s">
        <v>14</v>
      </c>
      <c r="B314" t="s">
        <v>5866</v>
      </c>
      <c r="C314" t="s">
        <v>5867</v>
      </c>
      <c r="D314" t="s">
        <v>5874</v>
      </c>
      <c r="E314" t="s">
        <v>5875</v>
      </c>
      <c r="F314" t="s">
        <v>5023</v>
      </c>
      <c r="G314" t="s">
        <v>5876</v>
      </c>
    </row>
    <row r="315" ht="11.25" customHeight="1">
      <c r="A315" t="s">
        <v>14</v>
      </c>
      <c r="B315" t="s">
        <v>5866</v>
      </c>
      <c r="C315" t="s">
        <v>5867</v>
      </c>
      <c r="D315" t="s">
        <v>5877</v>
      </c>
      <c r="E315" t="s">
        <v>5878</v>
      </c>
      <c r="F315" t="s">
        <v>5023</v>
      </c>
      <c r="G315" t="s">
        <v>5879</v>
      </c>
    </row>
    <row r="316" ht="11.25" customHeight="1">
      <c r="A316" t="s">
        <v>14</v>
      </c>
      <c r="B316" t="s">
        <v>5866</v>
      </c>
      <c r="C316" t="s">
        <v>5867</v>
      </c>
      <c r="D316" t="s">
        <v>5880</v>
      </c>
      <c r="E316" t="s">
        <v>5881</v>
      </c>
      <c r="F316" t="s">
        <v>5023</v>
      </c>
      <c r="G316" t="s">
        <v>5882</v>
      </c>
    </row>
    <row r="317" ht="11.25" customHeight="1">
      <c r="A317" t="s">
        <v>14</v>
      </c>
      <c r="B317" t="s">
        <v>5866</v>
      </c>
      <c r="C317" t="s">
        <v>5867</v>
      </c>
      <c r="D317" t="s">
        <v>5883</v>
      </c>
      <c r="E317" t="s">
        <v>5884</v>
      </c>
      <c r="F317" t="s">
        <v>5023</v>
      </c>
      <c r="G317" t="s">
        <v>5885</v>
      </c>
    </row>
    <row r="318" ht="11.25" customHeight="1">
      <c r="A318" t="s">
        <v>14</v>
      </c>
      <c r="B318" t="s">
        <v>5866</v>
      </c>
      <c r="C318" t="s">
        <v>5867</v>
      </c>
      <c r="D318" t="s">
        <v>5886</v>
      </c>
      <c r="E318" t="s">
        <v>5887</v>
      </c>
      <c r="F318" t="s">
        <v>5023</v>
      </c>
      <c r="G318" t="s">
        <v>5888</v>
      </c>
    </row>
    <row r="319" ht="11.25" customHeight="1">
      <c r="A319" t="s">
        <v>14</v>
      </c>
      <c r="B319" t="s">
        <v>5866</v>
      </c>
      <c r="C319" t="s">
        <v>5867</v>
      </c>
      <c r="D319" t="s">
        <v>5889</v>
      </c>
      <c r="E319" t="s">
        <v>5890</v>
      </c>
      <c r="F319" t="s">
        <v>5023</v>
      </c>
      <c r="G319" t="s">
        <v>5891</v>
      </c>
    </row>
    <row r="320" ht="11.25" customHeight="1">
      <c r="A320" t="s">
        <v>14</v>
      </c>
      <c r="B320" t="s">
        <v>5866</v>
      </c>
      <c r="C320" t="s">
        <v>5867</v>
      </c>
      <c r="D320" t="s">
        <v>5892</v>
      </c>
      <c r="E320" t="s">
        <v>5893</v>
      </c>
      <c r="F320" t="s">
        <v>5023</v>
      </c>
      <c r="G320" t="s">
        <v>5894</v>
      </c>
    </row>
    <row r="321" ht="11.25" customHeight="1">
      <c r="A321" t="s">
        <v>14</v>
      </c>
      <c r="B321" t="s">
        <v>5866</v>
      </c>
      <c r="C321" t="s">
        <v>5867</v>
      </c>
      <c r="D321" t="s">
        <v>5688</v>
      </c>
      <c r="E321" t="s">
        <v>5895</v>
      </c>
      <c r="F321" t="s">
        <v>5023</v>
      </c>
      <c r="G321" t="s">
        <v>5896</v>
      </c>
    </row>
    <row r="322" ht="11.25" customHeight="1">
      <c r="A322" t="s">
        <v>14</v>
      </c>
      <c r="B322" t="s">
        <v>5866</v>
      </c>
      <c r="C322" t="s">
        <v>5867</v>
      </c>
      <c r="D322" t="s">
        <v>5897</v>
      </c>
      <c r="E322" t="s">
        <v>5898</v>
      </c>
      <c r="F322" t="s">
        <v>5023</v>
      </c>
      <c r="G322" t="s">
        <v>5899</v>
      </c>
    </row>
    <row r="323" ht="11.25" customHeight="1">
      <c r="A323" t="s">
        <v>14</v>
      </c>
      <c r="B323" t="s">
        <v>5866</v>
      </c>
      <c r="C323" t="s">
        <v>5867</v>
      </c>
      <c r="D323" t="s">
        <v>5900</v>
      </c>
      <c r="E323" t="s">
        <v>5901</v>
      </c>
      <c r="F323" t="s">
        <v>5023</v>
      </c>
      <c r="G323" t="s">
        <v>5902</v>
      </c>
    </row>
    <row r="324" ht="11.25" customHeight="1">
      <c r="A324" t="s">
        <v>14</v>
      </c>
      <c r="B324" t="s">
        <v>5866</v>
      </c>
      <c r="C324" t="s">
        <v>5867</v>
      </c>
      <c r="D324" t="s">
        <v>5866</v>
      </c>
      <c r="E324" t="s">
        <v>5867</v>
      </c>
      <c r="F324" t="s">
        <v>5014</v>
      </c>
      <c r="G324" t="s">
        <v>5903</v>
      </c>
    </row>
    <row r="325" ht="11.25" customHeight="1">
      <c r="A325" t="s">
        <v>14</v>
      </c>
      <c r="B325" t="s">
        <v>5866</v>
      </c>
      <c r="C325" t="s">
        <v>5867</v>
      </c>
      <c r="D325" t="s">
        <v>5904</v>
      </c>
      <c r="E325" t="s">
        <v>5905</v>
      </c>
      <c r="F325" t="s">
        <v>5017</v>
      </c>
      <c r="G325" t="s">
        <v>5906</v>
      </c>
    </row>
    <row r="326" ht="11.25" customHeight="1">
      <c r="A326" t="s">
        <v>14</v>
      </c>
      <c r="B326" t="s">
        <v>5866</v>
      </c>
      <c r="C326" t="s">
        <v>5867</v>
      </c>
      <c r="D326" t="s">
        <v>5907</v>
      </c>
      <c r="E326" t="s">
        <v>5908</v>
      </c>
      <c r="F326" t="s">
        <v>5023</v>
      </c>
      <c r="G326" t="s">
        <v>5909</v>
      </c>
    </row>
    <row r="327" ht="11.25" customHeight="1">
      <c r="A327" t="s">
        <v>14</v>
      </c>
      <c r="B327" t="s">
        <v>5866</v>
      </c>
      <c r="C327" t="s">
        <v>5867</v>
      </c>
      <c r="D327" t="s">
        <v>5910</v>
      </c>
      <c r="E327" t="s">
        <v>5911</v>
      </c>
      <c r="F327" t="s">
        <v>5023</v>
      </c>
      <c r="G327" t="s">
        <v>5912</v>
      </c>
    </row>
    <row r="328" ht="11.25" customHeight="1">
      <c r="A328" t="s">
        <v>14</v>
      </c>
      <c r="B328" t="s">
        <v>5913</v>
      </c>
      <c r="C328" t="s">
        <v>5914</v>
      </c>
      <c r="D328" t="s">
        <v>5915</v>
      </c>
      <c r="E328" t="s">
        <v>5916</v>
      </c>
      <c r="F328" t="s">
        <v>5023</v>
      </c>
      <c r="G328" t="s">
        <v>5917</v>
      </c>
    </row>
    <row r="329" ht="11.25" customHeight="1">
      <c r="A329" t="s">
        <v>14</v>
      </c>
      <c r="B329" t="s">
        <v>5913</v>
      </c>
      <c r="C329" t="s">
        <v>5914</v>
      </c>
      <c r="D329" t="s">
        <v>5316</v>
      </c>
      <c r="E329" t="s">
        <v>5918</v>
      </c>
      <c r="F329" t="s">
        <v>5023</v>
      </c>
      <c r="G329" t="s">
        <v>5919</v>
      </c>
    </row>
    <row r="330" ht="11.25" customHeight="1">
      <c r="A330" t="s">
        <v>14</v>
      </c>
      <c r="B330" t="s">
        <v>5913</v>
      </c>
      <c r="C330" t="s">
        <v>5914</v>
      </c>
      <c r="D330" t="s">
        <v>5920</v>
      </c>
      <c r="E330" t="s">
        <v>5921</v>
      </c>
      <c r="F330" t="s">
        <v>5023</v>
      </c>
      <c r="G330" t="s">
        <v>5922</v>
      </c>
    </row>
    <row r="331" ht="11.25" customHeight="1">
      <c r="A331" t="s">
        <v>14</v>
      </c>
      <c r="B331" t="s">
        <v>5913</v>
      </c>
      <c r="C331" t="s">
        <v>5914</v>
      </c>
      <c r="D331" t="s">
        <v>5923</v>
      </c>
      <c r="E331" t="s">
        <v>5924</v>
      </c>
      <c r="F331" t="s">
        <v>5023</v>
      </c>
      <c r="G331" t="s">
        <v>5925</v>
      </c>
    </row>
    <row r="332" ht="11.25" customHeight="1">
      <c r="A332" t="s">
        <v>14</v>
      </c>
      <c r="B332" t="s">
        <v>5913</v>
      </c>
      <c r="C332" t="s">
        <v>5914</v>
      </c>
      <c r="D332" t="s">
        <v>5913</v>
      </c>
      <c r="E332" t="s">
        <v>5914</v>
      </c>
      <c r="F332" t="s">
        <v>5014</v>
      </c>
      <c r="G332" t="s">
        <v>5926</v>
      </c>
    </row>
    <row r="333" ht="11.25" customHeight="1">
      <c r="A333" t="s">
        <v>14</v>
      </c>
      <c r="B333" t="s">
        <v>5913</v>
      </c>
      <c r="C333" t="s">
        <v>5914</v>
      </c>
      <c r="D333" t="s">
        <v>5927</v>
      </c>
      <c r="E333" t="s">
        <v>5928</v>
      </c>
      <c r="F333" t="s">
        <v>5023</v>
      </c>
      <c r="G333" t="s">
        <v>5929</v>
      </c>
    </row>
    <row r="334" ht="11.25" customHeight="1">
      <c r="A334" t="s">
        <v>14</v>
      </c>
      <c r="B334" t="s">
        <v>5930</v>
      </c>
      <c r="C334" t="s">
        <v>5931</v>
      </c>
      <c r="D334" t="s">
        <v>5932</v>
      </c>
      <c r="E334" t="s">
        <v>5933</v>
      </c>
      <c r="F334" t="s">
        <v>5023</v>
      </c>
      <c r="G334" t="s">
        <v>5934</v>
      </c>
    </row>
    <row r="335" ht="11.25" customHeight="1">
      <c r="A335" t="s">
        <v>14</v>
      </c>
      <c r="B335" t="s">
        <v>5930</v>
      </c>
      <c r="C335" t="s">
        <v>5931</v>
      </c>
      <c r="D335" t="s">
        <v>5935</v>
      </c>
      <c r="E335" t="s">
        <v>5936</v>
      </c>
      <c r="F335" t="s">
        <v>5023</v>
      </c>
      <c r="G335" t="s">
        <v>5937</v>
      </c>
    </row>
    <row r="336" ht="11.25" customHeight="1">
      <c r="A336" t="s">
        <v>14</v>
      </c>
      <c r="B336" t="s">
        <v>5930</v>
      </c>
      <c r="C336" t="s">
        <v>5931</v>
      </c>
      <c r="D336" t="s">
        <v>5938</v>
      </c>
      <c r="E336" t="s">
        <v>5939</v>
      </c>
      <c r="F336" t="s">
        <v>5023</v>
      </c>
      <c r="G336" t="s">
        <v>5940</v>
      </c>
    </row>
    <row r="337" ht="11.25" customHeight="1">
      <c r="A337" t="s">
        <v>14</v>
      </c>
      <c r="B337" t="s">
        <v>5930</v>
      </c>
      <c r="C337" t="s">
        <v>5931</v>
      </c>
      <c r="D337" t="s">
        <v>5941</v>
      </c>
      <c r="E337" t="s">
        <v>5942</v>
      </c>
      <c r="F337" t="s">
        <v>5023</v>
      </c>
      <c r="G337" t="s">
        <v>5943</v>
      </c>
    </row>
    <row r="338" ht="11.25" customHeight="1">
      <c r="A338" t="s">
        <v>14</v>
      </c>
      <c r="B338" t="s">
        <v>5930</v>
      </c>
      <c r="C338" t="s">
        <v>5931</v>
      </c>
      <c r="D338" t="s">
        <v>5944</v>
      </c>
      <c r="E338" t="s">
        <v>5945</v>
      </c>
      <c r="F338" t="s">
        <v>5023</v>
      </c>
      <c r="G338" t="s">
        <v>5946</v>
      </c>
    </row>
    <row r="339" ht="11.25" customHeight="1">
      <c r="A339" t="s">
        <v>14</v>
      </c>
      <c r="B339" t="s">
        <v>5930</v>
      </c>
      <c r="C339" t="s">
        <v>5931</v>
      </c>
      <c r="D339" t="s">
        <v>5947</v>
      </c>
      <c r="E339" t="s">
        <v>5948</v>
      </c>
      <c r="F339" t="s">
        <v>5023</v>
      </c>
      <c r="G339" t="s">
        <v>5949</v>
      </c>
    </row>
    <row r="340" ht="11.25" customHeight="1">
      <c r="A340" t="s">
        <v>14</v>
      </c>
      <c r="B340" t="s">
        <v>5930</v>
      </c>
      <c r="C340" t="s">
        <v>5931</v>
      </c>
      <c r="D340" t="s">
        <v>5950</v>
      </c>
      <c r="E340" t="s">
        <v>5951</v>
      </c>
      <c r="F340" t="s">
        <v>5023</v>
      </c>
      <c r="G340" t="s">
        <v>5952</v>
      </c>
    </row>
    <row r="341" ht="11.25" customHeight="1">
      <c r="A341" t="s">
        <v>14</v>
      </c>
      <c r="B341" t="s">
        <v>5930</v>
      </c>
      <c r="C341" t="s">
        <v>5931</v>
      </c>
      <c r="D341" t="s">
        <v>5930</v>
      </c>
      <c r="E341" t="s">
        <v>5931</v>
      </c>
      <c r="F341" t="s">
        <v>5014</v>
      </c>
      <c r="G341" t="s">
        <v>5953</v>
      </c>
    </row>
    <row r="342" ht="11.25" customHeight="1">
      <c r="A342" t="s">
        <v>14</v>
      </c>
      <c r="B342" t="s">
        <v>5930</v>
      </c>
      <c r="C342" t="s">
        <v>5931</v>
      </c>
      <c r="D342" t="s">
        <v>5954</v>
      </c>
      <c r="E342" t="s">
        <v>5955</v>
      </c>
      <c r="F342" t="s">
        <v>5023</v>
      </c>
      <c r="G342" t="s">
        <v>5956</v>
      </c>
    </row>
    <row r="343" ht="11.25" customHeight="1">
      <c r="A343" t="s">
        <v>14</v>
      </c>
      <c r="B343" t="s">
        <v>5957</v>
      </c>
      <c r="C343" t="s">
        <v>5958</v>
      </c>
      <c r="D343" t="s">
        <v>5959</v>
      </c>
      <c r="E343" t="s">
        <v>5960</v>
      </c>
      <c r="F343" t="s">
        <v>5023</v>
      </c>
      <c r="G343" t="s">
        <v>5961</v>
      </c>
    </row>
    <row r="344" ht="11.25" customHeight="1">
      <c r="A344" t="s">
        <v>14</v>
      </c>
      <c r="B344" t="s">
        <v>5957</v>
      </c>
      <c r="C344" t="s">
        <v>5958</v>
      </c>
      <c r="D344" t="s">
        <v>5962</v>
      </c>
      <c r="E344" t="s">
        <v>5963</v>
      </c>
      <c r="F344" t="s">
        <v>5023</v>
      </c>
      <c r="G344" t="s">
        <v>5964</v>
      </c>
    </row>
    <row r="345" ht="11.25" customHeight="1">
      <c r="A345" t="s">
        <v>14</v>
      </c>
      <c r="B345" t="s">
        <v>5957</v>
      </c>
      <c r="C345" t="s">
        <v>5958</v>
      </c>
      <c r="D345" t="s">
        <v>5965</v>
      </c>
      <c r="E345" t="s">
        <v>5966</v>
      </c>
      <c r="F345" t="s">
        <v>5023</v>
      </c>
      <c r="G345" t="s">
        <v>5967</v>
      </c>
    </row>
    <row r="346" ht="11.25" customHeight="1">
      <c r="A346" t="s">
        <v>14</v>
      </c>
      <c r="B346" t="s">
        <v>5957</v>
      </c>
      <c r="C346" t="s">
        <v>5958</v>
      </c>
      <c r="D346" t="s">
        <v>5968</v>
      </c>
      <c r="E346" t="s">
        <v>5969</v>
      </c>
      <c r="F346" t="s">
        <v>5023</v>
      </c>
      <c r="G346" t="s">
        <v>5970</v>
      </c>
    </row>
    <row r="347" ht="11.25" customHeight="1">
      <c r="A347" t="s">
        <v>14</v>
      </c>
      <c r="B347" t="s">
        <v>5957</v>
      </c>
      <c r="C347" t="s">
        <v>5958</v>
      </c>
      <c r="D347" t="s">
        <v>5971</v>
      </c>
      <c r="E347" t="s">
        <v>5972</v>
      </c>
      <c r="F347" t="s">
        <v>5023</v>
      </c>
      <c r="G347" t="s">
        <v>5973</v>
      </c>
    </row>
    <row r="348" ht="11.25" customHeight="1">
      <c r="A348" t="s">
        <v>14</v>
      </c>
      <c r="B348" t="s">
        <v>5957</v>
      </c>
      <c r="C348" t="s">
        <v>5958</v>
      </c>
      <c r="D348" t="s">
        <v>5974</v>
      </c>
      <c r="E348" t="s">
        <v>5975</v>
      </c>
      <c r="F348" t="s">
        <v>5023</v>
      </c>
      <c r="G348" t="s">
        <v>5976</v>
      </c>
    </row>
    <row r="349" ht="11.25" customHeight="1">
      <c r="A349" t="s">
        <v>14</v>
      </c>
      <c r="B349" t="s">
        <v>5957</v>
      </c>
      <c r="C349" t="s">
        <v>5958</v>
      </c>
      <c r="D349" t="s">
        <v>5977</v>
      </c>
      <c r="E349" t="s">
        <v>5978</v>
      </c>
      <c r="F349" t="s">
        <v>5023</v>
      </c>
      <c r="G349" t="s">
        <v>5979</v>
      </c>
    </row>
    <row r="350" ht="11.25" customHeight="1">
      <c r="A350" t="s">
        <v>14</v>
      </c>
      <c r="B350" t="s">
        <v>5957</v>
      </c>
      <c r="C350" t="s">
        <v>5958</v>
      </c>
      <c r="D350" t="s">
        <v>5980</v>
      </c>
      <c r="E350" t="s">
        <v>5981</v>
      </c>
      <c r="F350" t="s">
        <v>5023</v>
      </c>
      <c r="G350" t="s">
        <v>5982</v>
      </c>
    </row>
    <row r="351" ht="11.25" customHeight="1">
      <c r="A351" t="s">
        <v>14</v>
      </c>
      <c r="B351" t="s">
        <v>5957</v>
      </c>
      <c r="C351" t="s">
        <v>5958</v>
      </c>
      <c r="D351" t="s">
        <v>5983</v>
      </c>
      <c r="E351" t="s">
        <v>5984</v>
      </c>
      <c r="F351" t="s">
        <v>5023</v>
      </c>
      <c r="G351" t="s">
        <v>5985</v>
      </c>
    </row>
    <row r="352" ht="11.25" customHeight="1">
      <c r="A352" t="s">
        <v>14</v>
      </c>
      <c r="B352" t="s">
        <v>5957</v>
      </c>
      <c r="C352" t="s">
        <v>5958</v>
      </c>
      <c r="D352" t="s">
        <v>5986</v>
      </c>
      <c r="E352" t="s">
        <v>5987</v>
      </c>
      <c r="F352" t="s">
        <v>5023</v>
      </c>
      <c r="G352" t="s">
        <v>5988</v>
      </c>
    </row>
    <row r="353" ht="11.25" customHeight="1">
      <c r="A353" t="s">
        <v>14</v>
      </c>
      <c r="B353" t="s">
        <v>5957</v>
      </c>
      <c r="C353" t="s">
        <v>5958</v>
      </c>
      <c r="D353" t="s">
        <v>5957</v>
      </c>
      <c r="E353" t="s">
        <v>5958</v>
      </c>
      <c r="F353" t="s">
        <v>5014</v>
      </c>
      <c r="G353" t="s">
        <v>5989</v>
      </c>
    </row>
    <row r="354" ht="11.25" customHeight="1">
      <c r="A354" t="s">
        <v>14</v>
      </c>
      <c r="B354" t="s">
        <v>5957</v>
      </c>
      <c r="C354" t="s">
        <v>5958</v>
      </c>
      <c r="D354" t="s">
        <v>5990</v>
      </c>
      <c r="E354" t="s">
        <v>5991</v>
      </c>
      <c r="F354" t="s">
        <v>5017</v>
      </c>
      <c r="G354" t="s">
        <v>5992</v>
      </c>
    </row>
    <row r="355" ht="11.25" customHeight="1">
      <c r="A355" t="s">
        <v>14</v>
      </c>
      <c r="B355" t="s">
        <v>5957</v>
      </c>
      <c r="C355" t="s">
        <v>5958</v>
      </c>
      <c r="D355" t="s">
        <v>5993</v>
      </c>
      <c r="E355" t="s">
        <v>5994</v>
      </c>
      <c r="F355" t="s">
        <v>5023</v>
      </c>
      <c r="G355" t="s">
        <v>5995</v>
      </c>
    </row>
    <row r="356" ht="11.25" customHeight="1">
      <c r="A356" t="s">
        <v>14</v>
      </c>
      <c r="B356" t="s">
        <v>5996</v>
      </c>
      <c r="C356" t="s">
        <v>5997</v>
      </c>
      <c r="D356" t="s">
        <v>5998</v>
      </c>
      <c r="E356" t="s">
        <v>5999</v>
      </c>
      <c r="F356" t="s">
        <v>5023</v>
      </c>
      <c r="G356" t="s">
        <v>6000</v>
      </c>
    </row>
    <row r="357" ht="11.25" customHeight="1">
      <c r="A357" t="s">
        <v>14</v>
      </c>
      <c r="B357" t="s">
        <v>5996</v>
      </c>
      <c r="C357" t="s">
        <v>5997</v>
      </c>
      <c r="D357" t="s">
        <v>6001</v>
      </c>
      <c r="E357" t="s">
        <v>6002</v>
      </c>
      <c r="F357" t="s">
        <v>5023</v>
      </c>
      <c r="G357" t="s">
        <v>6003</v>
      </c>
    </row>
    <row r="358" ht="11.25" customHeight="1">
      <c r="A358" t="s">
        <v>14</v>
      </c>
      <c r="B358" t="s">
        <v>5996</v>
      </c>
      <c r="C358" t="s">
        <v>5997</v>
      </c>
      <c r="D358" t="s">
        <v>6004</v>
      </c>
      <c r="E358" t="s">
        <v>6005</v>
      </c>
      <c r="F358" t="s">
        <v>5023</v>
      </c>
      <c r="G358" t="s">
        <v>6006</v>
      </c>
    </row>
    <row r="359" ht="11.25" customHeight="1">
      <c r="A359" t="s">
        <v>14</v>
      </c>
      <c r="B359" t="s">
        <v>5996</v>
      </c>
      <c r="C359" t="s">
        <v>5997</v>
      </c>
      <c r="D359" t="s">
        <v>6007</v>
      </c>
      <c r="E359" t="s">
        <v>6008</v>
      </c>
      <c r="F359" t="s">
        <v>5023</v>
      </c>
      <c r="G359" t="s">
        <v>6009</v>
      </c>
    </row>
    <row r="360" ht="11.25" customHeight="1">
      <c r="A360" t="s">
        <v>14</v>
      </c>
      <c r="B360" t="s">
        <v>5996</v>
      </c>
      <c r="C360" t="s">
        <v>5997</v>
      </c>
      <c r="D360" t="s">
        <v>6010</v>
      </c>
      <c r="E360" t="s">
        <v>6011</v>
      </c>
      <c r="F360" t="s">
        <v>5023</v>
      </c>
      <c r="G360" t="s">
        <v>6012</v>
      </c>
    </row>
    <row r="361" ht="11.25" customHeight="1">
      <c r="A361" t="s">
        <v>14</v>
      </c>
      <c r="B361" t="s">
        <v>5996</v>
      </c>
      <c r="C361" t="s">
        <v>5997</v>
      </c>
      <c r="D361" t="s">
        <v>6013</v>
      </c>
      <c r="E361" t="s">
        <v>6014</v>
      </c>
      <c r="F361" t="s">
        <v>5023</v>
      </c>
      <c r="G361" t="s">
        <v>6015</v>
      </c>
    </row>
    <row r="362" ht="11.25" customHeight="1">
      <c r="A362" t="s">
        <v>14</v>
      </c>
      <c r="B362" t="s">
        <v>5996</v>
      </c>
      <c r="C362" t="s">
        <v>5997</v>
      </c>
      <c r="D362" t="s">
        <v>6016</v>
      </c>
      <c r="E362" t="s">
        <v>6017</v>
      </c>
      <c r="F362" t="s">
        <v>5023</v>
      </c>
      <c r="G362" t="s">
        <v>6018</v>
      </c>
    </row>
    <row r="363" ht="11.25" customHeight="1">
      <c r="A363" t="s">
        <v>14</v>
      </c>
      <c r="B363" t="s">
        <v>5996</v>
      </c>
      <c r="C363" t="s">
        <v>5997</v>
      </c>
      <c r="D363" t="s">
        <v>6019</v>
      </c>
      <c r="E363" t="s">
        <v>6020</v>
      </c>
      <c r="F363" t="s">
        <v>5023</v>
      </c>
      <c r="G363" t="s">
        <v>6021</v>
      </c>
    </row>
    <row r="364" ht="11.25" customHeight="1">
      <c r="A364" t="s">
        <v>14</v>
      </c>
      <c r="B364" t="s">
        <v>5996</v>
      </c>
      <c r="C364" t="s">
        <v>5997</v>
      </c>
      <c r="D364" t="s">
        <v>6022</v>
      </c>
      <c r="E364" t="s">
        <v>6023</v>
      </c>
      <c r="F364" t="s">
        <v>5023</v>
      </c>
      <c r="G364" t="s">
        <v>6024</v>
      </c>
    </row>
    <row r="365" ht="11.25" customHeight="1">
      <c r="A365" t="s">
        <v>14</v>
      </c>
      <c r="B365" t="s">
        <v>5996</v>
      </c>
      <c r="C365" t="s">
        <v>5997</v>
      </c>
      <c r="D365" t="s">
        <v>5996</v>
      </c>
      <c r="E365" t="s">
        <v>5997</v>
      </c>
      <c r="F365" t="s">
        <v>5014</v>
      </c>
      <c r="G365" t="s">
        <v>6025</v>
      </c>
    </row>
    <row r="366" ht="11.25" customHeight="1">
      <c r="A366" t="s">
        <v>14</v>
      </c>
      <c r="B366" t="s">
        <v>5996</v>
      </c>
      <c r="C366" t="s">
        <v>5997</v>
      </c>
      <c r="D366" t="s">
        <v>6026</v>
      </c>
      <c r="E366" t="s">
        <v>6027</v>
      </c>
      <c r="F366" t="s">
        <v>5017</v>
      </c>
      <c r="G366" t="s">
        <v>6028</v>
      </c>
    </row>
    <row r="367" ht="11.25" customHeight="1">
      <c r="A367" t="s">
        <v>14</v>
      </c>
      <c r="B367" t="s">
        <v>6029</v>
      </c>
      <c r="C367" t="s">
        <v>6030</v>
      </c>
      <c r="D367" t="s">
        <v>6031</v>
      </c>
      <c r="E367" t="s">
        <v>6032</v>
      </c>
      <c r="F367" t="s">
        <v>5023</v>
      </c>
      <c r="G367" t="s">
        <v>6033</v>
      </c>
    </row>
    <row r="368" ht="11.25" customHeight="1">
      <c r="A368" t="s">
        <v>14</v>
      </c>
      <c r="B368" t="s">
        <v>6029</v>
      </c>
      <c r="C368" t="s">
        <v>6030</v>
      </c>
      <c r="D368" t="s">
        <v>6034</v>
      </c>
      <c r="E368" t="s">
        <v>6035</v>
      </c>
      <c r="F368" t="s">
        <v>5023</v>
      </c>
      <c r="G368" t="s">
        <v>6036</v>
      </c>
    </row>
    <row r="369" ht="11.25" customHeight="1">
      <c r="A369" t="s">
        <v>14</v>
      </c>
      <c r="B369" t="s">
        <v>6029</v>
      </c>
      <c r="C369" t="s">
        <v>6030</v>
      </c>
      <c r="D369" t="s">
        <v>6037</v>
      </c>
      <c r="E369" t="s">
        <v>6038</v>
      </c>
      <c r="F369" t="s">
        <v>5023</v>
      </c>
      <c r="G369" t="s">
        <v>6039</v>
      </c>
    </row>
    <row r="370" ht="11.25" customHeight="1">
      <c r="A370" t="s">
        <v>14</v>
      </c>
      <c r="B370" t="s">
        <v>6029</v>
      </c>
      <c r="C370" t="s">
        <v>6030</v>
      </c>
      <c r="D370" t="s">
        <v>6040</v>
      </c>
      <c r="E370" t="s">
        <v>6041</v>
      </c>
      <c r="F370" t="s">
        <v>5023</v>
      </c>
      <c r="G370" t="s">
        <v>6042</v>
      </c>
    </row>
    <row r="371" ht="11.25" customHeight="1">
      <c r="A371" t="s">
        <v>14</v>
      </c>
      <c r="B371" t="s">
        <v>6029</v>
      </c>
      <c r="C371" t="s">
        <v>6030</v>
      </c>
      <c r="D371" t="s">
        <v>6043</v>
      </c>
      <c r="E371" t="s">
        <v>6044</v>
      </c>
      <c r="F371" t="s">
        <v>5023</v>
      </c>
      <c r="G371" t="s">
        <v>6045</v>
      </c>
    </row>
    <row r="372" ht="11.25" customHeight="1">
      <c r="A372" t="s">
        <v>14</v>
      </c>
      <c r="B372" t="s">
        <v>6029</v>
      </c>
      <c r="C372" t="s">
        <v>6030</v>
      </c>
      <c r="D372" t="s">
        <v>6046</v>
      </c>
      <c r="E372" t="s">
        <v>6047</v>
      </c>
      <c r="F372" t="s">
        <v>5023</v>
      </c>
      <c r="G372" t="s">
        <v>6048</v>
      </c>
    </row>
    <row r="373" ht="11.25" customHeight="1">
      <c r="A373" t="s">
        <v>14</v>
      </c>
      <c r="B373" t="s">
        <v>6029</v>
      </c>
      <c r="C373" t="s">
        <v>6030</v>
      </c>
      <c r="D373" t="s">
        <v>5742</v>
      </c>
      <c r="E373" t="s">
        <v>6049</v>
      </c>
      <c r="F373" t="s">
        <v>5023</v>
      </c>
      <c r="G373" t="s">
        <v>6050</v>
      </c>
    </row>
    <row r="374" ht="11.25" customHeight="1">
      <c r="A374" t="s">
        <v>14</v>
      </c>
      <c r="B374" t="s">
        <v>6029</v>
      </c>
      <c r="C374" t="s">
        <v>6030</v>
      </c>
      <c r="D374" t="s">
        <v>6051</v>
      </c>
      <c r="E374" t="s">
        <v>6052</v>
      </c>
      <c r="F374" t="s">
        <v>5023</v>
      </c>
      <c r="G374" t="s">
        <v>6053</v>
      </c>
    </row>
    <row r="375" ht="11.25" customHeight="1">
      <c r="A375" t="s">
        <v>14</v>
      </c>
      <c r="B375" t="s">
        <v>6029</v>
      </c>
      <c r="C375" t="s">
        <v>6030</v>
      </c>
      <c r="D375" t="s">
        <v>6054</v>
      </c>
      <c r="E375" t="s">
        <v>6055</v>
      </c>
      <c r="F375" t="s">
        <v>5023</v>
      </c>
      <c r="G375" t="s">
        <v>6056</v>
      </c>
    </row>
    <row r="376" ht="11.25" customHeight="1">
      <c r="A376" t="s">
        <v>14</v>
      </c>
      <c r="B376" t="s">
        <v>6029</v>
      </c>
      <c r="C376" t="s">
        <v>6030</v>
      </c>
      <c r="D376" t="s">
        <v>6029</v>
      </c>
      <c r="E376" t="s">
        <v>6030</v>
      </c>
      <c r="F376" t="s">
        <v>5014</v>
      </c>
      <c r="G376" t="s">
        <v>6057</v>
      </c>
    </row>
    <row r="377" ht="11.25" customHeight="1">
      <c r="A377" t="s">
        <v>14</v>
      </c>
      <c r="B377" t="s">
        <v>6029</v>
      </c>
      <c r="C377" t="s">
        <v>6030</v>
      </c>
      <c r="D377" t="s">
        <v>6058</v>
      </c>
      <c r="E377" t="s">
        <v>6059</v>
      </c>
      <c r="F377" t="s">
        <v>5017</v>
      </c>
      <c r="G377" t="s">
        <v>6060</v>
      </c>
    </row>
    <row r="378" ht="11.25" customHeight="1">
      <c r="A378" t="s">
        <v>14</v>
      </c>
      <c r="B378" t="s">
        <v>6029</v>
      </c>
      <c r="C378" t="s">
        <v>6030</v>
      </c>
      <c r="D378" t="s">
        <v>6061</v>
      </c>
      <c r="E378" t="s">
        <v>6062</v>
      </c>
      <c r="F378" t="s">
        <v>5023</v>
      </c>
      <c r="G378" t="s">
        <v>6063</v>
      </c>
    </row>
    <row r="379" ht="11.25" customHeight="1">
      <c r="A379" t="s">
        <v>14</v>
      </c>
      <c r="B379" t="s">
        <v>6029</v>
      </c>
      <c r="C379" t="s">
        <v>6030</v>
      </c>
      <c r="D379" t="s">
        <v>6064</v>
      </c>
      <c r="E379" t="s">
        <v>6065</v>
      </c>
      <c r="F379" t="s">
        <v>5023</v>
      </c>
      <c r="G379" t="s">
        <v>6066</v>
      </c>
    </row>
    <row r="380" ht="11.25" customHeight="1">
      <c r="A380" t="s">
        <v>14</v>
      </c>
      <c r="B380" t="s">
        <v>6029</v>
      </c>
      <c r="C380" t="s">
        <v>6030</v>
      </c>
      <c r="D380" t="s">
        <v>6067</v>
      </c>
      <c r="E380" t="s">
        <v>6068</v>
      </c>
      <c r="F380" t="s">
        <v>5023</v>
      </c>
      <c r="G380" t="s">
        <v>6069</v>
      </c>
    </row>
    <row r="381" ht="11.25" customHeight="1">
      <c r="A381" t="s">
        <v>14</v>
      </c>
      <c r="B381" t="s">
        <v>6070</v>
      </c>
      <c r="C381" t="s">
        <v>6071</v>
      </c>
      <c r="D381" t="s">
        <v>6072</v>
      </c>
      <c r="E381" t="s">
        <v>6073</v>
      </c>
      <c r="F381" t="s">
        <v>5023</v>
      </c>
      <c r="G381" t="s">
        <v>6074</v>
      </c>
    </row>
    <row r="382" ht="11.25" customHeight="1">
      <c r="A382" t="s">
        <v>14</v>
      </c>
      <c r="B382" t="s">
        <v>6070</v>
      </c>
      <c r="C382" t="s">
        <v>6071</v>
      </c>
      <c r="D382" t="s">
        <v>6075</v>
      </c>
      <c r="E382" t="s">
        <v>6076</v>
      </c>
      <c r="F382" t="s">
        <v>5023</v>
      </c>
      <c r="G382" t="s">
        <v>6077</v>
      </c>
    </row>
    <row r="383" ht="11.25" customHeight="1">
      <c r="A383" t="s">
        <v>14</v>
      </c>
      <c r="B383" t="s">
        <v>6070</v>
      </c>
      <c r="C383" t="s">
        <v>6071</v>
      </c>
      <c r="D383" t="s">
        <v>6078</v>
      </c>
      <c r="E383" t="s">
        <v>6079</v>
      </c>
      <c r="F383" t="s">
        <v>5020</v>
      </c>
      <c r="G383" t="s">
        <v>6080</v>
      </c>
    </row>
    <row r="384" ht="11.25" customHeight="1">
      <c r="A384" t="s">
        <v>14</v>
      </c>
      <c r="B384" t="s">
        <v>6070</v>
      </c>
      <c r="C384" t="s">
        <v>6071</v>
      </c>
      <c r="D384" t="s">
        <v>6081</v>
      </c>
      <c r="E384" t="s">
        <v>6082</v>
      </c>
      <c r="F384" t="s">
        <v>5023</v>
      </c>
      <c r="G384" t="s">
        <v>6083</v>
      </c>
    </row>
    <row r="385" ht="11.25" customHeight="1">
      <c r="A385" t="s">
        <v>14</v>
      </c>
      <c r="B385" t="s">
        <v>6070</v>
      </c>
      <c r="C385" t="s">
        <v>6071</v>
      </c>
      <c r="D385" t="s">
        <v>6084</v>
      </c>
      <c r="E385" t="s">
        <v>6085</v>
      </c>
      <c r="F385" t="s">
        <v>5020</v>
      </c>
      <c r="G385" t="s">
        <v>6086</v>
      </c>
    </row>
    <row r="386" ht="11.25" customHeight="1">
      <c r="A386" t="s">
        <v>14</v>
      </c>
      <c r="B386" t="s">
        <v>6070</v>
      </c>
      <c r="C386" t="s">
        <v>6071</v>
      </c>
      <c r="D386" t="s">
        <v>5400</v>
      </c>
      <c r="E386" t="s">
        <v>6087</v>
      </c>
      <c r="F386" t="s">
        <v>5023</v>
      </c>
      <c r="G386" t="s">
        <v>6088</v>
      </c>
    </row>
    <row r="387" ht="11.25" customHeight="1">
      <c r="A387" t="s">
        <v>14</v>
      </c>
      <c r="B387" t="s">
        <v>6070</v>
      </c>
      <c r="C387" t="s">
        <v>6071</v>
      </c>
      <c r="D387" t="s">
        <v>6089</v>
      </c>
      <c r="E387" t="s">
        <v>6090</v>
      </c>
      <c r="F387" t="s">
        <v>5023</v>
      </c>
      <c r="G387" t="s">
        <v>6091</v>
      </c>
    </row>
    <row r="388" ht="11.25" customHeight="1">
      <c r="A388" t="s">
        <v>14</v>
      </c>
      <c r="B388" t="s">
        <v>6070</v>
      </c>
      <c r="C388" t="s">
        <v>6071</v>
      </c>
      <c r="D388" t="s">
        <v>6070</v>
      </c>
      <c r="E388" t="s">
        <v>6071</v>
      </c>
      <c r="F388" t="s">
        <v>5014</v>
      </c>
      <c r="G388" t="s">
        <v>6092</v>
      </c>
    </row>
    <row r="389" ht="11.25" customHeight="1">
      <c r="A389" t="s">
        <v>14</v>
      </c>
      <c r="B389" t="s">
        <v>6070</v>
      </c>
      <c r="C389" t="s">
        <v>6071</v>
      </c>
      <c r="D389" t="s">
        <v>6093</v>
      </c>
      <c r="E389" t="s">
        <v>6094</v>
      </c>
      <c r="F389" t="s">
        <v>5017</v>
      </c>
      <c r="G389" t="s">
        <v>6095</v>
      </c>
    </row>
    <row r="390" ht="11.25" customHeight="1">
      <c r="A390" t="s">
        <v>14</v>
      </c>
      <c r="B390" t="s">
        <v>6070</v>
      </c>
      <c r="C390" t="s">
        <v>6071</v>
      </c>
      <c r="D390" t="s">
        <v>6096</v>
      </c>
      <c r="E390" t="s">
        <v>6097</v>
      </c>
      <c r="F390" t="s">
        <v>5023</v>
      </c>
      <c r="G390" t="s">
        <v>6098</v>
      </c>
    </row>
    <row r="391" ht="11.25" customHeight="1">
      <c r="A391" t="s">
        <v>14</v>
      </c>
      <c r="B391" t="s">
        <v>6070</v>
      </c>
      <c r="C391" t="s">
        <v>6071</v>
      </c>
      <c r="D391" t="s">
        <v>6099</v>
      </c>
      <c r="E391" t="s">
        <v>6100</v>
      </c>
      <c r="F391" t="s">
        <v>5023</v>
      </c>
      <c r="G391" t="s">
        <v>6101</v>
      </c>
    </row>
    <row r="392" ht="11.25" customHeight="1">
      <c r="A392" t="s">
        <v>14</v>
      </c>
      <c r="B392" t="s">
        <v>6102</v>
      </c>
      <c r="C392" t="s">
        <v>6103</v>
      </c>
      <c r="D392" t="s">
        <v>5771</v>
      </c>
      <c r="E392" t="s">
        <v>6104</v>
      </c>
      <c r="F392" t="s">
        <v>5023</v>
      </c>
      <c r="G392" t="s">
        <v>6105</v>
      </c>
    </row>
    <row r="393" ht="11.25" customHeight="1">
      <c r="A393" t="s">
        <v>14</v>
      </c>
      <c r="B393" t="s">
        <v>6102</v>
      </c>
      <c r="C393" t="s">
        <v>6103</v>
      </c>
      <c r="D393" t="s">
        <v>6106</v>
      </c>
      <c r="E393" t="s">
        <v>6107</v>
      </c>
      <c r="F393" t="s">
        <v>5023</v>
      </c>
      <c r="G393" t="s">
        <v>6108</v>
      </c>
    </row>
    <row r="394" ht="11.25" customHeight="1">
      <c r="A394" t="s">
        <v>14</v>
      </c>
      <c r="B394" t="s">
        <v>6102</v>
      </c>
      <c r="C394" t="s">
        <v>6103</v>
      </c>
      <c r="D394" t="s">
        <v>6109</v>
      </c>
      <c r="E394" t="s">
        <v>6110</v>
      </c>
      <c r="F394" t="s">
        <v>5023</v>
      </c>
      <c r="G394" t="s">
        <v>6111</v>
      </c>
    </row>
    <row r="395" ht="11.25" customHeight="1">
      <c r="A395" t="s">
        <v>14</v>
      </c>
      <c r="B395" t="s">
        <v>6102</v>
      </c>
      <c r="C395" t="s">
        <v>6103</v>
      </c>
      <c r="D395" t="s">
        <v>6112</v>
      </c>
      <c r="E395" t="s">
        <v>6113</v>
      </c>
      <c r="F395" t="s">
        <v>5023</v>
      </c>
      <c r="G395" t="s">
        <v>6114</v>
      </c>
    </row>
    <row r="396" ht="11.25" customHeight="1">
      <c r="A396" t="s">
        <v>14</v>
      </c>
      <c r="B396" t="s">
        <v>6102</v>
      </c>
      <c r="C396" t="s">
        <v>6103</v>
      </c>
      <c r="D396" t="s">
        <v>6115</v>
      </c>
      <c r="E396" t="s">
        <v>6116</v>
      </c>
      <c r="F396" t="s">
        <v>5023</v>
      </c>
      <c r="G396" t="s">
        <v>6117</v>
      </c>
    </row>
    <row r="397" ht="11.25" customHeight="1">
      <c r="A397" t="s">
        <v>14</v>
      </c>
      <c r="B397" t="s">
        <v>6102</v>
      </c>
      <c r="C397" t="s">
        <v>6103</v>
      </c>
      <c r="D397" t="s">
        <v>6118</v>
      </c>
      <c r="E397" t="s">
        <v>6119</v>
      </c>
      <c r="F397" t="s">
        <v>5023</v>
      </c>
      <c r="G397" t="s">
        <v>6120</v>
      </c>
    </row>
    <row r="398" ht="11.25" customHeight="1">
      <c r="A398" t="s">
        <v>14</v>
      </c>
      <c r="B398" t="s">
        <v>6102</v>
      </c>
      <c r="C398" t="s">
        <v>6103</v>
      </c>
      <c r="D398" t="s">
        <v>6121</v>
      </c>
      <c r="E398" t="s">
        <v>6122</v>
      </c>
      <c r="F398" t="s">
        <v>5023</v>
      </c>
      <c r="G398" t="s">
        <v>6123</v>
      </c>
    </row>
    <row r="399" ht="11.25" customHeight="1">
      <c r="A399" t="s">
        <v>14</v>
      </c>
      <c r="B399" t="s">
        <v>6102</v>
      </c>
      <c r="C399" t="s">
        <v>6103</v>
      </c>
      <c r="D399" t="s">
        <v>6124</v>
      </c>
      <c r="E399" t="s">
        <v>6125</v>
      </c>
      <c r="F399" t="s">
        <v>5023</v>
      </c>
      <c r="G399" t="s">
        <v>6126</v>
      </c>
    </row>
    <row r="400" ht="11.25" customHeight="1">
      <c r="A400" t="s">
        <v>14</v>
      </c>
      <c r="B400" t="s">
        <v>6102</v>
      </c>
      <c r="C400" t="s">
        <v>6103</v>
      </c>
      <c r="D400" t="s">
        <v>6127</v>
      </c>
      <c r="E400" t="s">
        <v>6128</v>
      </c>
      <c r="F400" t="s">
        <v>5023</v>
      </c>
      <c r="G400" t="s">
        <v>6129</v>
      </c>
    </row>
    <row r="401" ht="11.25" customHeight="1">
      <c r="A401" t="s">
        <v>14</v>
      </c>
      <c r="B401" t="s">
        <v>6102</v>
      </c>
      <c r="C401" t="s">
        <v>6103</v>
      </c>
      <c r="D401" t="s">
        <v>6102</v>
      </c>
      <c r="E401" t="s">
        <v>6103</v>
      </c>
      <c r="F401" t="s">
        <v>5014</v>
      </c>
      <c r="G401" t="s">
        <v>6130</v>
      </c>
    </row>
    <row r="402" ht="11.25" customHeight="1">
      <c r="A402" t="s">
        <v>14</v>
      </c>
      <c r="B402" t="s">
        <v>6102</v>
      </c>
      <c r="C402" t="s">
        <v>6103</v>
      </c>
      <c r="D402" t="s">
        <v>5066</v>
      </c>
      <c r="E402" t="s">
        <v>6131</v>
      </c>
      <c r="F402" t="s">
        <v>5023</v>
      </c>
      <c r="G402" t="s">
        <v>6132</v>
      </c>
    </row>
    <row r="403" ht="11.25" customHeight="1">
      <c r="A403" t="s">
        <v>14</v>
      </c>
      <c r="B403" t="s">
        <v>6133</v>
      </c>
      <c r="C403" t="s">
        <v>6134</v>
      </c>
      <c r="D403" t="s">
        <v>5234</v>
      </c>
      <c r="E403" t="s">
        <v>6135</v>
      </c>
      <c r="F403" t="s">
        <v>5023</v>
      </c>
      <c r="G403" t="s">
        <v>6136</v>
      </c>
    </row>
    <row r="404" ht="11.25" customHeight="1">
      <c r="A404" t="s">
        <v>14</v>
      </c>
      <c r="B404" t="s">
        <v>6133</v>
      </c>
      <c r="C404" t="s">
        <v>6134</v>
      </c>
      <c r="D404" t="s">
        <v>6037</v>
      </c>
      <c r="E404" t="s">
        <v>6137</v>
      </c>
      <c r="F404" t="s">
        <v>5023</v>
      </c>
      <c r="G404" t="s">
        <v>6138</v>
      </c>
    </row>
    <row r="405" ht="11.25" customHeight="1">
      <c r="A405" t="s">
        <v>14</v>
      </c>
      <c r="B405" t="s">
        <v>6133</v>
      </c>
      <c r="C405" t="s">
        <v>6134</v>
      </c>
      <c r="D405" t="s">
        <v>6139</v>
      </c>
      <c r="E405" t="s">
        <v>6140</v>
      </c>
      <c r="F405" t="s">
        <v>5023</v>
      </c>
      <c r="G405" t="s">
        <v>6141</v>
      </c>
    </row>
    <row r="406" ht="11.25" customHeight="1">
      <c r="A406" t="s">
        <v>14</v>
      </c>
      <c r="B406" t="s">
        <v>6133</v>
      </c>
      <c r="C406" t="s">
        <v>6134</v>
      </c>
      <c r="D406" t="s">
        <v>6142</v>
      </c>
      <c r="E406" t="s">
        <v>6143</v>
      </c>
      <c r="F406" t="s">
        <v>5023</v>
      </c>
      <c r="G406" t="s">
        <v>6144</v>
      </c>
    </row>
    <row r="407" ht="11.25" customHeight="1">
      <c r="A407" t="s">
        <v>14</v>
      </c>
      <c r="B407" t="s">
        <v>6133</v>
      </c>
      <c r="C407" t="s">
        <v>6134</v>
      </c>
      <c r="D407" t="s">
        <v>5591</v>
      </c>
      <c r="E407" t="s">
        <v>6145</v>
      </c>
      <c r="F407" t="s">
        <v>5023</v>
      </c>
      <c r="G407" t="s">
        <v>6146</v>
      </c>
    </row>
    <row r="408" ht="11.25" customHeight="1">
      <c r="A408" t="s">
        <v>14</v>
      </c>
      <c r="B408" t="s">
        <v>6133</v>
      </c>
      <c r="C408" t="s">
        <v>6134</v>
      </c>
      <c r="D408" t="s">
        <v>6147</v>
      </c>
      <c r="E408" t="s">
        <v>6148</v>
      </c>
      <c r="F408" t="s">
        <v>5023</v>
      </c>
      <c r="G408" t="s">
        <v>6149</v>
      </c>
    </row>
    <row r="409" ht="11.25" customHeight="1">
      <c r="A409" t="s">
        <v>14</v>
      </c>
      <c r="B409" t="s">
        <v>6133</v>
      </c>
      <c r="C409" t="s">
        <v>6134</v>
      </c>
      <c r="D409" t="s">
        <v>6150</v>
      </c>
      <c r="E409" t="s">
        <v>6151</v>
      </c>
      <c r="F409" t="s">
        <v>5023</v>
      </c>
      <c r="G409" t="s">
        <v>6152</v>
      </c>
    </row>
    <row r="410" ht="11.25" customHeight="1">
      <c r="A410" t="s">
        <v>14</v>
      </c>
      <c r="B410" t="s">
        <v>6133</v>
      </c>
      <c r="C410" t="s">
        <v>6134</v>
      </c>
      <c r="D410" t="s">
        <v>6153</v>
      </c>
      <c r="E410" t="s">
        <v>6154</v>
      </c>
      <c r="F410" t="s">
        <v>5023</v>
      </c>
      <c r="G410" t="s">
        <v>6155</v>
      </c>
    </row>
    <row r="411" ht="11.25" customHeight="1">
      <c r="A411" t="s">
        <v>14</v>
      </c>
      <c r="B411" t="s">
        <v>6133</v>
      </c>
      <c r="C411" t="s">
        <v>6134</v>
      </c>
      <c r="D411" t="s">
        <v>6156</v>
      </c>
      <c r="E411" t="s">
        <v>6157</v>
      </c>
      <c r="F411" t="s">
        <v>5023</v>
      </c>
      <c r="G411" t="s">
        <v>6158</v>
      </c>
    </row>
    <row r="412" ht="11.25" customHeight="1">
      <c r="A412" t="s">
        <v>14</v>
      </c>
      <c r="B412" t="s">
        <v>6133</v>
      </c>
      <c r="C412" t="s">
        <v>6134</v>
      </c>
      <c r="D412" t="s">
        <v>6159</v>
      </c>
      <c r="E412" t="s">
        <v>6160</v>
      </c>
      <c r="F412" t="s">
        <v>5023</v>
      </c>
      <c r="G412" t="s">
        <v>6161</v>
      </c>
    </row>
    <row r="413" ht="11.25" customHeight="1">
      <c r="A413" t="s">
        <v>14</v>
      </c>
      <c r="B413" t="s">
        <v>6133</v>
      </c>
      <c r="C413" t="s">
        <v>6134</v>
      </c>
      <c r="D413" t="s">
        <v>6162</v>
      </c>
      <c r="E413" t="s">
        <v>6163</v>
      </c>
      <c r="F413" t="s">
        <v>5023</v>
      </c>
      <c r="G413" t="s">
        <v>6164</v>
      </c>
    </row>
    <row r="414" ht="11.25" customHeight="1">
      <c r="A414" t="s">
        <v>14</v>
      </c>
      <c r="B414" t="s">
        <v>6133</v>
      </c>
      <c r="C414" t="s">
        <v>6134</v>
      </c>
      <c r="D414" t="s">
        <v>6165</v>
      </c>
      <c r="E414" t="s">
        <v>6166</v>
      </c>
      <c r="F414" t="s">
        <v>5023</v>
      </c>
      <c r="G414" t="s">
        <v>6167</v>
      </c>
    </row>
    <row r="415" ht="11.25" customHeight="1">
      <c r="A415" t="s">
        <v>14</v>
      </c>
      <c r="B415" t="s">
        <v>6133</v>
      </c>
      <c r="C415" t="s">
        <v>6134</v>
      </c>
      <c r="D415" t="s">
        <v>6168</v>
      </c>
      <c r="E415" t="s">
        <v>6169</v>
      </c>
      <c r="F415" t="s">
        <v>5023</v>
      </c>
      <c r="G415" t="s">
        <v>6170</v>
      </c>
    </row>
    <row r="416" ht="11.25" customHeight="1">
      <c r="A416" t="s">
        <v>14</v>
      </c>
      <c r="B416" t="s">
        <v>6133</v>
      </c>
      <c r="C416" t="s">
        <v>6134</v>
      </c>
      <c r="D416" t="s">
        <v>6089</v>
      </c>
      <c r="E416" t="s">
        <v>6171</v>
      </c>
      <c r="F416" t="s">
        <v>5023</v>
      </c>
      <c r="G416" t="s">
        <v>6172</v>
      </c>
    </row>
    <row r="417" ht="11.25" customHeight="1">
      <c r="A417" t="s">
        <v>14</v>
      </c>
      <c r="B417" t="s">
        <v>6133</v>
      </c>
      <c r="C417" t="s">
        <v>6134</v>
      </c>
      <c r="D417" t="s">
        <v>6133</v>
      </c>
      <c r="E417" t="s">
        <v>6134</v>
      </c>
      <c r="F417" t="s">
        <v>5014</v>
      </c>
      <c r="G417" t="s">
        <v>6173</v>
      </c>
    </row>
    <row r="418" ht="11.25" customHeight="1">
      <c r="A418" t="s">
        <v>14</v>
      </c>
      <c r="B418" t="s">
        <v>6133</v>
      </c>
      <c r="C418" t="s">
        <v>6134</v>
      </c>
      <c r="D418" t="s">
        <v>6174</v>
      </c>
      <c r="E418" t="s">
        <v>6175</v>
      </c>
      <c r="F418" t="s">
        <v>5017</v>
      </c>
      <c r="G418" t="s">
        <v>6176</v>
      </c>
    </row>
    <row r="419" ht="11.25" customHeight="1">
      <c r="A419" t="s">
        <v>14</v>
      </c>
      <c r="B419" t="s">
        <v>6177</v>
      </c>
      <c r="C419" t="s">
        <v>6178</v>
      </c>
      <c r="D419" t="s">
        <v>6179</v>
      </c>
      <c r="E419" t="s">
        <v>6180</v>
      </c>
      <c r="F419" t="s">
        <v>5023</v>
      </c>
      <c r="G419" t="s">
        <v>6181</v>
      </c>
    </row>
    <row r="420" ht="11.25" customHeight="1">
      <c r="A420" t="s">
        <v>14</v>
      </c>
      <c r="B420" t="s">
        <v>6177</v>
      </c>
      <c r="C420" t="s">
        <v>6178</v>
      </c>
      <c r="D420" t="s">
        <v>6182</v>
      </c>
      <c r="E420" t="s">
        <v>6183</v>
      </c>
      <c r="F420" t="s">
        <v>5023</v>
      </c>
      <c r="G420" t="s">
        <v>6184</v>
      </c>
    </row>
    <row r="421" ht="11.25" customHeight="1">
      <c r="A421" t="s">
        <v>14</v>
      </c>
      <c r="B421" t="s">
        <v>6177</v>
      </c>
      <c r="C421" t="s">
        <v>6178</v>
      </c>
      <c r="D421" t="s">
        <v>6185</v>
      </c>
      <c r="E421" t="s">
        <v>6186</v>
      </c>
      <c r="F421" t="s">
        <v>5023</v>
      </c>
      <c r="G421" t="s">
        <v>6187</v>
      </c>
    </row>
    <row r="422" ht="11.25" customHeight="1">
      <c r="A422" t="s">
        <v>14</v>
      </c>
      <c r="B422" t="s">
        <v>6177</v>
      </c>
      <c r="C422" t="s">
        <v>6178</v>
      </c>
      <c r="D422" t="s">
        <v>6118</v>
      </c>
      <c r="E422" t="s">
        <v>6188</v>
      </c>
      <c r="F422" t="s">
        <v>5023</v>
      </c>
      <c r="G422" t="s">
        <v>6189</v>
      </c>
    </row>
    <row r="423" ht="11.25" customHeight="1">
      <c r="A423" t="s">
        <v>14</v>
      </c>
      <c r="B423" t="s">
        <v>6177</v>
      </c>
      <c r="C423" t="s">
        <v>6178</v>
      </c>
      <c r="D423" t="s">
        <v>6190</v>
      </c>
      <c r="E423" t="s">
        <v>6191</v>
      </c>
      <c r="F423" t="s">
        <v>5023</v>
      </c>
      <c r="G423" t="s">
        <v>6192</v>
      </c>
    </row>
    <row r="424" ht="11.25" customHeight="1">
      <c r="A424" t="s">
        <v>14</v>
      </c>
      <c r="B424" t="s">
        <v>6177</v>
      </c>
      <c r="C424" t="s">
        <v>6178</v>
      </c>
      <c r="D424" t="s">
        <v>6193</v>
      </c>
      <c r="E424" t="s">
        <v>6194</v>
      </c>
      <c r="F424" t="s">
        <v>5023</v>
      </c>
      <c r="G424" t="s">
        <v>6195</v>
      </c>
    </row>
    <row r="425" ht="11.25" customHeight="1">
      <c r="A425" t="s">
        <v>14</v>
      </c>
      <c r="B425" t="s">
        <v>6177</v>
      </c>
      <c r="C425" t="s">
        <v>6178</v>
      </c>
      <c r="D425" t="s">
        <v>6196</v>
      </c>
      <c r="E425" t="s">
        <v>6197</v>
      </c>
      <c r="F425" t="s">
        <v>5023</v>
      </c>
      <c r="G425" t="s">
        <v>6198</v>
      </c>
    </row>
    <row r="426" ht="11.25" customHeight="1">
      <c r="A426" t="s">
        <v>14</v>
      </c>
      <c r="B426" t="s">
        <v>6177</v>
      </c>
      <c r="C426" t="s">
        <v>6178</v>
      </c>
      <c r="D426" t="s">
        <v>6177</v>
      </c>
      <c r="E426" t="s">
        <v>6178</v>
      </c>
      <c r="F426" t="s">
        <v>5014</v>
      </c>
      <c r="G426" t="s">
        <v>6199</v>
      </c>
    </row>
    <row r="427" ht="11.25" customHeight="1">
      <c r="A427" t="s">
        <v>14</v>
      </c>
      <c r="B427" t="s">
        <v>6177</v>
      </c>
      <c r="C427" t="s">
        <v>6178</v>
      </c>
      <c r="D427" t="s">
        <v>6200</v>
      </c>
      <c r="E427" t="s">
        <v>6201</v>
      </c>
      <c r="F427" t="s">
        <v>5023</v>
      </c>
      <c r="G427" t="s">
        <v>6202</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60" width="9.140625"/>
    <col customWidth="1" min="2" max="2" style="760" width="84.28125"/>
    <col min="3" max="3" style="760" width="9.140625"/>
  </cols>
  <sheetData>
    <row r="1" ht="11.25" customHeight="1">
      <c r="A1" s="760" t="s">
        <v>6261</v>
      </c>
      <c r="B1" s="760" t="s">
        <v>6262</v>
      </c>
      <c r="C1" s="760" t="s">
        <v>1157</v>
      </c>
    </row>
    <row r="2" ht="11.25" customHeight="1">
      <c r="A2" s="760">
        <v>4189678</v>
      </c>
      <c r="B2" s="760" t="s">
        <v>6263</v>
      </c>
      <c r="C2" s="760" t="s">
        <v>6264</v>
      </c>
    </row>
    <row r="3" ht="11.25" customHeight="1">
      <c r="A3" s="760">
        <v>4190415</v>
      </c>
      <c r="B3" s="760" t="s">
        <v>6265</v>
      </c>
      <c r="C3" s="760" t="s">
        <v>6264</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5" customHeight="1"/>
  <cols>
    <col customWidth="1" min="1" max="1" style="1360" width="38.421875"/>
    <col min="2" max="5" style="1360" width="9.140625"/>
  </cols>
  <sheetData>
    <row r="1" ht="15" customHeight="1">
      <c r="A1" s="1361" t="s">
        <v>6266</v>
      </c>
      <c r="B1" s="1361" t="s">
        <v>6267</v>
      </c>
      <c r="C1" s="1361"/>
      <c r="D1" s="1361"/>
      <c r="E1" s="1361"/>
    </row>
    <row r="2" ht="15" customHeight="1">
      <c r="A2" s="1361"/>
      <c r="B2" s="1361"/>
      <c r="C2" s="1361"/>
      <c r="D2" s="1361"/>
      <c r="E2" s="1361"/>
    </row>
    <row r="3" ht="15" customHeight="1">
      <c r="A3" s="1361"/>
      <c r="B3" s="1361"/>
      <c r="C3" s="1361"/>
      <c r="D3" s="1361"/>
      <c r="E3" s="1361"/>
    </row>
    <row r="4" ht="15" customHeight="1">
      <c r="A4" s="1361"/>
      <c r="B4" s="1361"/>
      <c r="C4" s="1361"/>
      <c r="D4" s="1361"/>
      <c r="E4" s="1361"/>
    </row>
    <row r="5" ht="15" customHeight="1">
      <c r="A5" s="1361"/>
      <c r="B5" s="1361"/>
      <c r="C5" s="1361"/>
      <c r="D5" s="1361"/>
      <c r="E5" s="1361"/>
    </row>
    <row r="6" ht="15" customHeight="1">
      <c r="A6" s="1361"/>
      <c r="B6" s="1361"/>
      <c r="C6" s="1361"/>
      <c r="D6" s="1361"/>
      <c r="E6" s="1361"/>
    </row>
    <row r="7" ht="15" customHeight="1">
      <c r="A7" s="1361"/>
      <c r="B7" s="1361"/>
      <c r="C7" s="1361"/>
      <c r="D7" s="1361"/>
      <c r="E7" s="1361"/>
    </row>
    <row r="8" ht="15" customHeight="1">
      <c r="A8" s="1361"/>
      <c r="B8" s="1361"/>
      <c r="C8" s="1361"/>
      <c r="D8" s="1361"/>
      <c r="E8" s="1361"/>
    </row>
  </sheetData>
  <sheetProtection autoFilter="0" deleteColumns="0" deleteRows="0" formatCells="1" formatColumns="0" formatRows="0"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row r="1" ht="11.25" customHeight="1">
      <c r="A1" t="s">
        <v>6268</v>
      </c>
      <c r="B1" t="b">
        <v>1</v>
      </c>
    </row>
    <row r="2" ht="11.25" customHeight="1">
      <c r="A2" t="s">
        <v>6269</v>
      </c>
      <c r="B2" t="b">
        <v>0</v>
      </c>
    </row>
    <row r="3" ht="11.25" customHeight="1">
      <c r="A3" t="s">
        <v>6270</v>
      </c>
      <c r="B3" t="b">
        <v>1</v>
      </c>
    </row>
    <row r="4" ht="11.25" customHeight="1">
      <c r="A4" t="s">
        <v>6271</v>
      </c>
      <c r="B4" t="b">
        <v>0</v>
      </c>
    </row>
    <row r="5" ht="11.25" customHeight="1">
      <c r="A5" t="s">
        <v>6272</v>
      </c>
      <c r="B5" t="b">
        <v>0</v>
      </c>
    </row>
    <row r="6" ht="11.25" customHeight="1">
      <c r="A6" t="s">
        <v>6273</v>
      </c>
      <c r="B6" t="b">
        <v>0</v>
      </c>
    </row>
    <row r="7" ht="11.25" customHeight="1">
      <c r="A7" t="s">
        <v>6274</v>
      </c>
      <c r="B7" t="b">
        <v>0</v>
      </c>
    </row>
    <row r="8" ht="11.25" customHeight="1">
      <c r="A8" t="s">
        <v>6275</v>
      </c>
      <c r="B8" t="b">
        <v>0</v>
      </c>
    </row>
    <row r="9" ht="11.25" customHeight="1">
      <c r="A9" t="s">
        <v>6276</v>
      </c>
      <c r="B9" t="b">
        <v>0</v>
      </c>
    </row>
    <row r="10" ht="11.25" customHeight="1">
      <c r="A10" t="s">
        <v>6277</v>
      </c>
      <c r="B10" t="b">
        <v>0</v>
      </c>
    </row>
    <row r="11" ht="11.25" customHeight="1">
      <c r="A11" t="s">
        <v>6278</v>
      </c>
      <c r="B11" t="b">
        <v>1</v>
      </c>
    </row>
    <row r="12" ht="11.25" customHeight="1">
      <c r="A12" t="s">
        <v>6279</v>
      </c>
      <c r="B12" t="b">
        <v>0</v>
      </c>
    </row>
    <row r="13" ht="11.25" customHeight="1">
      <c r="A13" t="s">
        <v>6280</v>
      </c>
      <c r="B13" t="b">
        <v>0</v>
      </c>
    </row>
    <row r="14" ht="11.25" customHeight="1">
      <c r="A14" t="s">
        <v>6281</v>
      </c>
      <c r="B14" t="b">
        <v>0</v>
      </c>
    </row>
    <row r="15" ht="11.25" customHeight="1">
      <c r="A15" t="s">
        <v>6282</v>
      </c>
      <c r="B15" t="b">
        <v>1</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2.75" customHeight="1"/>
  <cols>
    <col min="1" max="1" style="1" width="9.140625"/>
  </cols>
  <sheetData>
    <row r="1" ht="12.75" customHeight="1">
      <c r="A1" s="1"/>
    </row>
  </sheetData>
  <sheetProtection autoFilter="0" deleteColumns="0" deleteRows="0" formatCells="1" formatColumns="1" formatRows="1" insertColumns="1" insertHyperlinks="1" insertRows="0" pivotTables="1" selectLockedCells="0" selectUnlockedCells="0" sheet="0" sort="0"/>
  <printOptions headings="0" gridLines="0"/>
  <pageMargins left="0.75" right="0.75" top="1" bottom="1" header="0.5" footer="0.5"/>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6.28125"/>
    <col customWidth="1" min="2" max="2" style="63" width="21.140625"/>
  </cols>
  <sheetData>
    <row r="1" ht="11.25" customHeight="1">
      <c r="A1" s="1362" t="s">
        <v>6283</v>
      </c>
      <c r="B1" s="1362" t="s">
        <v>6284</v>
      </c>
    </row>
    <row r="2" ht="11.25" customHeight="1">
      <c r="A2" t="s">
        <v>6285</v>
      </c>
      <c r="B2" t="s">
        <v>6286</v>
      </c>
    </row>
    <row r="3" ht="11.25" customHeight="1">
      <c r="A3" t="s">
        <v>6287</v>
      </c>
      <c r="B3" t="s">
        <v>6288</v>
      </c>
    </row>
    <row r="4" ht="11.25" customHeight="1">
      <c r="A4" t="s">
        <v>6289</v>
      </c>
      <c r="B4" t="s">
        <v>6290</v>
      </c>
    </row>
    <row r="5" ht="11.25" customHeight="1">
      <c r="A5" t="s">
        <v>6291</v>
      </c>
      <c r="B5" t="s">
        <v>6292</v>
      </c>
    </row>
    <row r="6" ht="11.25" customHeight="1">
      <c r="A6" t="s">
        <v>6293</v>
      </c>
      <c r="B6" t="s">
        <v>6294</v>
      </c>
    </row>
    <row r="7" ht="11.25" customHeight="1">
      <c r="A7" t="s">
        <v>6295</v>
      </c>
      <c r="B7" t="s">
        <v>6296</v>
      </c>
    </row>
    <row r="8" ht="11.25" customHeight="1">
      <c r="A8" t="s">
        <v>6297</v>
      </c>
      <c r="B8" t="s">
        <v>6298</v>
      </c>
    </row>
    <row r="9" ht="11.25" customHeight="1">
      <c r="A9" t="s">
        <v>6299</v>
      </c>
      <c r="B9" t="s">
        <v>6300</v>
      </c>
    </row>
    <row r="10" ht="11.25" customHeight="1">
      <c r="A10" t="s">
        <v>6301</v>
      </c>
      <c r="B10" t="s">
        <v>6302</v>
      </c>
    </row>
    <row r="11" ht="11.25" customHeight="1">
      <c r="A11" t="s">
        <v>6303</v>
      </c>
      <c r="B11" t="s">
        <v>6304</v>
      </c>
    </row>
    <row r="12" ht="11.25" customHeight="1">
      <c r="A12" t="s">
        <v>6305</v>
      </c>
      <c r="B12" t="s">
        <v>6306</v>
      </c>
    </row>
    <row r="13" ht="11.25" customHeight="1">
      <c r="A13" t="s">
        <v>6307</v>
      </c>
      <c r="B13" t="s">
        <v>6308</v>
      </c>
    </row>
    <row r="14" ht="11.25" customHeight="1">
      <c r="A14" t="s">
        <v>6309</v>
      </c>
      <c r="B14" t="s">
        <v>6310</v>
      </c>
    </row>
    <row r="15" ht="11.25" customHeight="1">
      <c r="A15" t="s">
        <v>6311</v>
      </c>
      <c r="B15" t="s">
        <v>6312</v>
      </c>
    </row>
    <row r="16" ht="11.25" customHeight="1">
      <c r="A16" t="s">
        <v>6313</v>
      </c>
      <c r="B16" t="s">
        <v>6314</v>
      </c>
    </row>
    <row r="17" ht="11.25" customHeight="1">
      <c r="A17" t="s">
        <v>6315</v>
      </c>
      <c r="B17" t="s">
        <v>6316</v>
      </c>
    </row>
    <row r="18" ht="11.25" customHeight="1">
      <c r="A18" t="s">
        <v>6317</v>
      </c>
      <c r="B18" t="s">
        <v>6318</v>
      </c>
    </row>
    <row r="19" ht="11.25" customHeight="1">
      <c r="A19" t="s">
        <v>6319</v>
      </c>
      <c r="B19" t="s">
        <v>6320</v>
      </c>
    </row>
    <row r="20" ht="11.25" customHeight="1">
      <c r="A20" t="s">
        <v>6321</v>
      </c>
      <c r="B20" t="s">
        <v>6322</v>
      </c>
    </row>
    <row r="21" ht="11.25" customHeight="1">
      <c r="A21" t="s">
        <v>6323</v>
      </c>
      <c r="B21" t="s">
        <v>6324</v>
      </c>
    </row>
    <row r="22" ht="11.25" customHeight="1">
      <c r="A22" t="s">
        <v>6325</v>
      </c>
      <c r="B22" t="s">
        <v>6326</v>
      </c>
    </row>
    <row r="23" ht="11.25" customHeight="1">
      <c r="A23" t="s">
        <v>6327</v>
      </c>
      <c r="B23" t="s">
        <v>6328</v>
      </c>
    </row>
    <row r="24" ht="11.25" customHeight="1">
      <c r="A24" t="s">
        <v>6329</v>
      </c>
      <c r="B24" t="s">
        <v>6330</v>
      </c>
    </row>
    <row r="25" ht="11.25" customHeight="1">
      <c r="A25" t="s">
        <v>6331</v>
      </c>
      <c r="B25" t="s">
        <v>6332</v>
      </c>
    </row>
    <row r="26" ht="11.25" customHeight="1">
      <c r="A26" t="s">
        <v>6333</v>
      </c>
      <c r="B26" t="s">
        <v>6334</v>
      </c>
    </row>
    <row r="27" ht="11.25" customHeight="1">
      <c r="A27" t="s">
        <v>6335</v>
      </c>
      <c r="B27" t="s">
        <v>6336</v>
      </c>
    </row>
    <row r="28" ht="11.25" customHeight="1">
      <c r="A28" t="s">
        <v>6337</v>
      </c>
      <c r="B28" t="s">
        <v>6338</v>
      </c>
    </row>
    <row r="29" ht="11.25" customHeight="1">
      <c r="A29" t="s">
        <v>6339</v>
      </c>
      <c r="B29" t="s">
        <v>6340</v>
      </c>
    </row>
    <row r="30" ht="11.25" customHeight="1">
      <c r="A30" t="s">
        <v>6341</v>
      </c>
      <c r="B30" t="s">
        <v>6342</v>
      </c>
    </row>
    <row r="31" ht="11.25" customHeight="1">
      <c r="A31" t="s">
        <v>6343</v>
      </c>
      <c r="B31" t="s">
        <v>6344</v>
      </c>
    </row>
    <row r="32" ht="11.25" customHeight="1">
      <c r="A32" t="s">
        <v>6345</v>
      </c>
      <c r="B32" t="s">
        <v>6346</v>
      </c>
    </row>
    <row r="33" ht="11.25" customHeight="1">
      <c r="A33" t="s">
        <v>6347</v>
      </c>
      <c r="B33" t="s">
        <v>6348</v>
      </c>
    </row>
    <row r="34" ht="11.25" customHeight="1">
      <c r="A34" t="s">
        <v>6349</v>
      </c>
      <c r="B34" t="s">
        <v>6350</v>
      </c>
    </row>
    <row r="35" ht="11.25" customHeight="1">
      <c r="A35" t="s">
        <v>6351</v>
      </c>
      <c r="B35" t="s">
        <v>6352</v>
      </c>
    </row>
    <row r="36" ht="11.25" customHeight="1">
      <c r="A36" t="s">
        <v>6353</v>
      </c>
      <c r="B36" t="s">
        <v>6354</v>
      </c>
    </row>
    <row r="37" ht="11.25" customHeight="1">
      <c r="A37" t="s">
        <v>6355</v>
      </c>
      <c r="B37" t="s">
        <v>6356</v>
      </c>
    </row>
    <row r="38" ht="11.25" customHeight="1">
      <c r="A38" t="s">
        <v>6357</v>
      </c>
      <c r="B38" t="s">
        <v>6358</v>
      </c>
    </row>
    <row r="39" ht="11.25" customHeight="1">
      <c r="A39" t="s">
        <v>6359</v>
      </c>
      <c r="B39" t="s">
        <v>6360</v>
      </c>
    </row>
    <row r="40" ht="11.25" customHeight="1">
      <c r="A40" t="s">
        <v>6361</v>
      </c>
      <c r="B40" t="s">
        <v>6362</v>
      </c>
    </row>
    <row r="41" ht="11.25" customHeight="1">
      <c r="A41" t="s">
        <v>6363</v>
      </c>
      <c r="B41" t="s">
        <v>6364</v>
      </c>
    </row>
    <row r="42" ht="11.25" customHeight="1">
      <c r="A42" t="s">
        <v>6365</v>
      </c>
      <c r="B42" t="s">
        <v>6366</v>
      </c>
    </row>
    <row r="43" ht="11.25" customHeight="1">
      <c r="A43" t="s">
        <v>6367</v>
      </c>
      <c r="B43" t="s">
        <v>6368</v>
      </c>
    </row>
    <row r="44" ht="11.25" customHeight="1">
      <c r="A44" t="s">
        <v>6369</v>
      </c>
      <c r="B44" t="s">
        <v>6370</v>
      </c>
    </row>
    <row r="45" ht="11.25" customHeight="1">
      <c r="A45" t="s">
        <v>6371</v>
      </c>
      <c r="B45" t="s">
        <v>6372</v>
      </c>
    </row>
    <row r="46" ht="11.25" customHeight="1">
      <c r="A46" t="s">
        <v>6373</v>
      </c>
      <c r="B46" t="s">
        <v>6374</v>
      </c>
    </row>
    <row r="47" ht="11.25" customHeight="1">
      <c r="A47" t="s">
        <v>6375</v>
      </c>
      <c r="B47" t="s">
        <v>6376</v>
      </c>
    </row>
    <row r="48" ht="11.25" customHeight="1">
      <c r="A48" t="s">
        <v>6377</v>
      </c>
      <c r="B48" t="s">
        <v>6378</v>
      </c>
    </row>
    <row r="49" ht="11.25" customHeight="1">
      <c r="A49" t="s">
        <v>6379</v>
      </c>
      <c r="B49" t="s">
        <v>6380</v>
      </c>
    </row>
    <row r="50" ht="11.25" customHeight="1">
      <c r="A50" t="s">
        <v>6381</v>
      </c>
      <c r="B50" t="s">
        <v>6382</v>
      </c>
    </row>
    <row r="51" ht="11.25" customHeight="1">
      <c r="A51" t="s">
        <v>6383</v>
      </c>
      <c r="B51" t="s">
        <v>6384</v>
      </c>
    </row>
    <row r="52" ht="11.25" customHeight="1">
      <c r="A52" t="s">
        <v>6385</v>
      </c>
      <c r="B52" t="s">
        <v>6386</v>
      </c>
    </row>
    <row r="53" ht="11.25" customHeight="1">
      <c r="A53" t="s">
        <v>6387</v>
      </c>
      <c r="B53" t="s">
        <v>6388</v>
      </c>
    </row>
    <row r="54" ht="11.25" customHeight="1">
      <c r="A54" t="s">
        <v>6389</v>
      </c>
      <c r="B54" t="s">
        <v>6390</v>
      </c>
    </row>
    <row r="55" ht="11.25" customHeight="1">
      <c r="A55" t="s">
        <v>6391</v>
      </c>
      <c r="B55" t="s">
        <v>6392</v>
      </c>
    </row>
    <row r="56" ht="11.25" customHeight="1">
      <c r="A56" t="s">
        <v>6393</v>
      </c>
      <c r="B56" t="s">
        <v>6394</v>
      </c>
    </row>
    <row r="57" ht="11.25" customHeight="1">
      <c r="A57" t="s">
        <v>6395</v>
      </c>
      <c r="B57" t="s">
        <v>6396</v>
      </c>
    </row>
    <row r="58" ht="11.25" customHeight="1">
      <c r="A58" t="s">
        <v>6397</v>
      </c>
      <c r="B58" t="s">
        <v>6398</v>
      </c>
    </row>
    <row r="59" ht="11.25" customHeight="1">
      <c r="A59" t="s">
        <v>6399</v>
      </c>
      <c r="B59" t="s">
        <v>6400</v>
      </c>
    </row>
    <row r="60" ht="11.25" customHeight="1">
      <c r="A60" t="s">
        <v>6401</v>
      </c>
      <c r="B60" t="s">
        <v>6402</v>
      </c>
    </row>
    <row r="61" ht="11.25" customHeight="1">
      <c r="B61" t="s">
        <v>6403</v>
      </c>
    </row>
    <row r="62" ht="11.25" customHeight="1">
      <c r="B62" t="s">
        <v>6404</v>
      </c>
    </row>
    <row r="63" ht="11.25" customHeight="1">
      <c r="B63" t="s">
        <v>6405</v>
      </c>
    </row>
    <row r="64" ht="11.25" customHeight="1">
      <c r="B64" t="s">
        <v>6406</v>
      </c>
    </row>
    <row r="65" ht="11.25" customHeight="1">
      <c r="B65" t="s">
        <v>6407</v>
      </c>
    </row>
    <row r="66" ht="11.25" customHeight="1">
      <c r="B66" t="s">
        <v>6408</v>
      </c>
    </row>
    <row r="67" ht="11.25" customHeight="1">
      <c r="B67" t="s">
        <v>6409</v>
      </c>
    </row>
    <row r="68" ht="11.25" customHeight="1">
      <c r="B68" t="s">
        <v>6410</v>
      </c>
    </row>
    <row r="69" ht="11.25" customHeight="1">
      <c r="B69" t="s">
        <v>6411</v>
      </c>
    </row>
    <row r="70" ht="11.25" customHeight="1">
      <c r="B70" t="s">
        <v>6412</v>
      </c>
    </row>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7109375"/>
    <col customWidth="1" min="2" max="2" style="63" width="90.7109375"/>
    <col min="3" max="4" style="63" width="9.140625"/>
  </cols>
  <sheetData>
    <row r="1" ht="11.25" customHeight="1">
      <c r="B1" s="1363" t="s">
        <v>6413</v>
      </c>
    </row>
    <row r="2" ht="90" customHeight="1">
      <c r="B2" s="1364" t="s">
        <v>6414</v>
      </c>
    </row>
    <row r="3" ht="67.5" customHeight="1">
      <c r="B3" s="1364" t="s">
        <v>6415</v>
      </c>
    </row>
    <row r="4" ht="33.75" customHeight="1">
      <c r="B4" s="1364" t="s">
        <v>6416</v>
      </c>
    </row>
    <row r="5" ht="11.25" customHeight="1">
      <c r="B5" s="1364" t="s">
        <v>6417</v>
      </c>
    </row>
    <row r="6" ht="22.5" customHeight="1">
      <c r="B6" s="1364" t="s">
        <v>6418</v>
      </c>
    </row>
    <row r="7" ht="22.5" customHeight="1">
      <c r="B7" s="1364" t="s">
        <v>6419</v>
      </c>
    </row>
    <row r="8" ht="22.5" customHeight="1">
      <c r="B8" s="1364" t="s">
        <v>6420</v>
      </c>
    </row>
    <row r="9" ht="22.5" customHeight="1">
      <c r="B9" s="1364" t="s">
        <v>6421</v>
      </c>
    </row>
    <row r="10" ht="56.25" customHeight="1">
      <c r="B10" s="1364" t="s">
        <v>6422</v>
      </c>
    </row>
    <row r="11" ht="12.75" customHeight="1">
      <c r="B11" s="1365" t="s">
        <v>6423</v>
      </c>
    </row>
    <row r="12" ht="11.25" customHeight="1">
      <c r="B12" s="1363" t="s">
        <v>6424</v>
      </c>
    </row>
    <row r="13" ht="22.5" customHeight="1">
      <c r="B13" s="1364" t="s">
        <v>6425</v>
      </c>
    </row>
    <row r="14" ht="67.5" customHeight="1">
      <c r="B14" s="1364" t="s">
        <v>6426</v>
      </c>
    </row>
    <row r="15" ht="22.5" customHeight="1">
      <c r="B15" s="1364" t="s">
        <v>6427</v>
      </c>
    </row>
    <row r="16" ht="11.25" customHeight="1">
      <c r="B16" s="1363" t="s">
        <v>6428</v>
      </c>
      <c r="D16" s="760"/>
    </row>
    <row r="17" ht="33.75" customHeight="1">
      <c r="B17" s="1364" t="s">
        <v>6429</v>
      </c>
    </row>
    <row r="18" ht="33.75" customHeight="1">
      <c r="B18" s="1364" t="s">
        <v>6430</v>
      </c>
    </row>
    <row r="19" ht="11.25" customHeight="1">
      <c r="B19" s="1364" t="s">
        <v>6431</v>
      </c>
    </row>
    <row r="20" ht="33.75" customHeight="1">
      <c r="B20" s="1364" t="s">
        <v>6432</v>
      </c>
    </row>
    <row r="21" ht="11.25" customHeight="1">
      <c r="B21" s="1363" t="s">
        <v>6433</v>
      </c>
    </row>
    <row r="22" ht="11.25" customHeight="1">
      <c r="B22" s="1364" t="s">
        <v>6434</v>
      </c>
    </row>
    <row r="24" ht="22.5" customHeight="1">
      <c r="B24" s="1366" t="s">
        <v>6435</v>
      </c>
    </row>
    <row r="26" ht="11.25" customHeight="1">
      <c r="B26" s="1363" t="s">
        <v>6436</v>
      </c>
    </row>
    <row r="27" ht="22.5" customHeight="1">
      <c r="B27" s="428" t="s">
        <v>386</v>
      </c>
    </row>
    <row r="28" ht="56.25" customHeight="1">
      <c r="B28" s="428" t="s">
        <v>6437</v>
      </c>
    </row>
    <row r="29" ht="11.25" customHeight="1">
      <c r="B29" s="1367" t="s">
        <v>6438</v>
      </c>
    </row>
    <row r="30" ht="22.5" customHeight="1">
      <c r="B30" s="428" t="s">
        <v>6439</v>
      </c>
    </row>
    <row r="32" ht="11.25" customHeight="1">
      <c r="B32" s="1368" t="s">
        <v>6440</v>
      </c>
    </row>
    <row r="33" ht="14.25" customHeight="1">
      <c r="A33" s="1369">
        <v>1</v>
      </c>
      <c r="B33" s="1370" t="s">
        <v>6441</v>
      </c>
    </row>
    <row r="34" ht="14.25" customHeight="1">
      <c r="A34" s="1369">
        <v>2</v>
      </c>
      <c r="B34" s="1370" t="s">
        <v>6442</v>
      </c>
    </row>
    <row r="35" ht="11.25" customHeight="1">
      <c r="B35" s="1368" t="s">
        <v>6443</v>
      </c>
    </row>
    <row r="36" ht="11.25" customHeight="1">
      <c r="B36" s="1370" t="s">
        <v>6444</v>
      </c>
    </row>
  </sheetData>
  <sheetProtection autoFilter="0" deleteColumns="0" deleteRows="0" formatCells="1" formatColumns="1" formatRows="1" insertColumns="1" insertHyperlinks="1" insertRows="0" pivotTables="1" selectLockedCells="0" selectUnlockedCells="0" sheet="0" sort="0"/>
  <printOptions headings="0" gridLines="0"/>
  <pageMargins left="0.75" right="0.75" top="1" bottom="1" header="0.5" footer="0.5"/>
  <pageSetup paperSize="9" scale="100" firstPageNumber="4294967295"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Р7-Офис/7.2.0.134</Application>
  <Company>ФАС России</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revision>1</cp:revision>
  <dcterms:created xsi:type="dcterms:W3CDTF">2004-05-21T07:18:45Z</dcterms:created>
  <dcterms:modified xsi:type="dcterms:W3CDTF">2024-01-25T05:53:43Z</dcterms:modified>
</cp:coreProperties>
</file>

<file path=docProps/custom.xml><?xml version="1.0" encoding="utf-8"?>
<Properties xmlns="http://schemas.openxmlformats.org/officeDocument/2006/custom-properties" xmlns:vt="http://schemas.openxmlformats.org/officeDocument/2006/docPropsVTypes"/>
</file>